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18-Общий обменник\12. Алыков Р.Ч\От Рабченюка П.Ю\Разбивка по МО для сайта в раздел капитальный ремонт 2021\"/>
    </mc:Choice>
  </mc:AlternateContent>
  <bookViews>
    <workbookView xWindow="0" yWindow="0" windowWidth="28800" windowHeight="11985"/>
  </bookViews>
  <sheets>
    <sheet name="2020-2022" sheetId="1" r:id="rId1"/>
  </sheets>
  <definedNames>
    <definedName name="_xlnm._FilterDatabase" localSheetId="0" hidden="1">'2020-2022'!$A$11:$BL$71</definedName>
    <definedName name="_xlnm.Print_Titles" localSheetId="0">'2020-2022'!$11:$11</definedName>
    <definedName name="_xlnm.Print_Area" localSheetId="0">'2020-2022'!$A$1:$Q$71</definedName>
  </definedNames>
  <calcPr calcId="152511"/>
</workbook>
</file>

<file path=xl/calcChain.xml><?xml version="1.0" encoding="utf-8"?>
<calcChain xmlns="http://schemas.openxmlformats.org/spreadsheetml/2006/main">
  <c r="Q13" i="1" l="1"/>
  <c r="I12" i="1"/>
  <c r="H12" i="1"/>
  <c r="L47" i="1"/>
  <c r="M47" i="1" s="1"/>
  <c r="M46" i="1"/>
  <c r="Q46" i="1" s="1"/>
  <c r="P45" i="1"/>
  <c r="O45" i="1"/>
  <c r="N45" i="1"/>
  <c r="Q47" i="1" l="1"/>
  <c r="M45" i="1"/>
  <c r="Q45" i="1" s="1"/>
  <c r="L45" i="1"/>
  <c r="N48" i="1" l="1"/>
  <c r="O48" i="1"/>
  <c r="P48" i="1"/>
  <c r="L17" i="1" l="1"/>
  <c r="L56" i="1"/>
  <c r="L24" i="1" l="1"/>
  <c r="L20" i="1"/>
  <c r="M17" i="1" l="1"/>
  <c r="P70" i="1" l="1"/>
  <c r="O70" i="1"/>
  <c r="P67" i="1"/>
  <c r="O67" i="1"/>
  <c r="P64" i="1"/>
  <c r="O64" i="1"/>
  <c r="P61" i="1"/>
  <c r="O61" i="1"/>
  <c r="P58" i="1"/>
  <c r="O58" i="1"/>
  <c r="N69" i="1"/>
  <c r="N66" i="1"/>
  <c r="N63" i="1"/>
  <c r="N60" i="1"/>
  <c r="N57" i="1"/>
  <c r="N54" i="1"/>
  <c r="O54" i="1"/>
  <c r="P54" i="1"/>
  <c r="N37" i="1"/>
  <c r="O37" i="1"/>
  <c r="P37" i="1"/>
  <c r="N33" i="1"/>
  <c r="O33" i="1"/>
  <c r="P33" i="1"/>
  <c r="N25" i="1"/>
  <c r="O25" i="1"/>
  <c r="P25" i="1"/>
  <c r="N21" i="1"/>
  <c r="O21" i="1"/>
  <c r="P21" i="1"/>
  <c r="N18" i="1"/>
  <c r="O18" i="1"/>
  <c r="P18" i="1"/>
  <c r="N14" i="1"/>
  <c r="O14" i="1"/>
  <c r="P14" i="1"/>
  <c r="N12" i="1" l="1"/>
  <c r="M56" i="1" l="1"/>
  <c r="Q56" i="1" s="1"/>
  <c r="M55" i="1"/>
  <c r="Q55" i="1" l="1"/>
  <c r="M54" i="1"/>
  <c r="Q54" i="1" s="1"/>
  <c r="L54" i="1"/>
  <c r="M43" i="1" l="1"/>
  <c r="Q43" i="1" s="1"/>
  <c r="M42" i="1"/>
  <c r="Q42" i="1" s="1"/>
  <c r="M41" i="1"/>
  <c r="M31" i="1"/>
  <c r="Q31" i="1" s="1"/>
  <c r="M30" i="1"/>
  <c r="Q30" i="1" s="1"/>
  <c r="M29" i="1"/>
  <c r="M71" i="1"/>
  <c r="M69" i="1" s="1"/>
  <c r="P69" i="1"/>
  <c r="O69" i="1"/>
  <c r="L69" i="1"/>
  <c r="M68" i="1"/>
  <c r="M66" i="1" s="1"/>
  <c r="P66" i="1"/>
  <c r="O66" i="1"/>
  <c r="L66" i="1"/>
  <c r="M65" i="1"/>
  <c r="P63" i="1"/>
  <c r="O63" i="1"/>
  <c r="L63" i="1"/>
  <c r="M62" i="1"/>
  <c r="P60" i="1"/>
  <c r="O60" i="1"/>
  <c r="L60" i="1"/>
  <c r="M59" i="1"/>
  <c r="P57" i="1"/>
  <c r="O57" i="1"/>
  <c r="L57" i="1"/>
  <c r="L52" i="1"/>
  <c r="M52" i="1" s="1"/>
  <c r="Q52" i="1" s="1"/>
  <c r="M51" i="1"/>
  <c r="Q51" i="1" s="1"/>
  <c r="L50" i="1"/>
  <c r="M49" i="1"/>
  <c r="L40" i="1"/>
  <c r="M40" i="1" s="1"/>
  <c r="Q40" i="1" s="1"/>
  <c r="M39" i="1"/>
  <c r="Q39" i="1" s="1"/>
  <c r="L38" i="1"/>
  <c r="L35" i="1"/>
  <c r="M35" i="1" s="1"/>
  <c r="Q35" i="1" s="1"/>
  <c r="L34" i="1"/>
  <c r="L28" i="1"/>
  <c r="M28" i="1" s="1"/>
  <c r="Q28" i="1" s="1"/>
  <c r="M27" i="1"/>
  <c r="Q27" i="1" s="1"/>
  <c r="L26" i="1"/>
  <c r="L21" i="1"/>
  <c r="M23" i="1"/>
  <c r="Q23" i="1" s="1"/>
  <c r="M22" i="1"/>
  <c r="M20" i="1"/>
  <c r="Q20" i="1" s="1"/>
  <c r="M19" i="1"/>
  <c r="Q17" i="1"/>
  <c r="M16" i="1"/>
  <c r="Q16" i="1" s="1"/>
  <c r="M15" i="1"/>
  <c r="Q15" i="1" s="1"/>
  <c r="O12" i="1" l="1"/>
  <c r="P12" i="1"/>
  <c r="L53" i="1"/>
  <c r="M53" i="1" s="1"/>
  <c r="Q53" i="1" s="1"/>
  <c r="Q49" i="1"/>
  <c r="L32" i="1"/>
  <c r="M32" i="1" s="1"/>
  <c r="Q32" i="1" s="1"/>
  <c r="L44" i="1"/>
  <c r="M44" i="1" s="1"/>
  <c r="Q44" i="1" s="1"/>
  <c r="M34" i="1"/>
  <c r="Q34" i="1" s="1"/>
  <c r="L36" i="1"/>
  <c r="L33" i="1" s="1"/>
  <c r="M50" i="1"/>
  <c r="Q50" i="1" s="1"/>
  <c r="M14" i="1"/>
  <c r="Q19" i="1"/>
  <c r="M18" i="1"/>
  <c r="Q18" i="1" s="1"/>
  <c r="Q59" i="1"/>
  <c r="M57" i="1"/>
  <c r="Q65" i="1"/>
  <c r="M63" i="1"/>
  <c r="Q62" i="1"/>
  <c r="M60" i="1"/>
  <c r="Q60" i="1" s="1"/>
  <c r="Q22" i="1"/>
  <c r="Q29" i="1"/>
  <c r="Q41" i="1"/>
  <c r="Q61" i="1"/>
  <c r="Q66" i="1"/>
  <c r="Q68" i="1"/>
  <c r="Q64" i="1"/>
  <c r="Q70" i="1"/>
  <c r="Q71" i="1"/>
  <c r="Q67" i="1"/>
  <c r="Q58" i="1"/>
  <c r="L18" i="1"/>
  <c r="M26" i="1"/>
  <c r="Q26" i="1" s="1"/>
  <c r="M38" i="1"/>
  <c r="Q38" i="1" s="1"/>
  <c r="M24" i="1"/>
  <c r="Q24" i="1" s="1"/>
  <c r="L14" i="1"/>
  <c r="Q14" i="1" l="1"/>
  <c r="L48" i="1"/>
  <c r="M48" i="1"/>
  <c r="Q48" i="1" s="1"/>
  <c r="M37" i="1"/>
  <c r="Q37" i="1" s="1"/>
  <c r="M25" i="1"/>
  <c r="Q25" i="1" s="1"/>
  <c r="M21" i="1"/>
  <c r="Q21" i="1" s="1"/>
  <c r="Q69" i="1"/>
  <c r="Q57" i="1"/>
  <c r="Q63" i="1"/>
  <c r="M36" i="1"/>
  <c r="L37" i="1"/>
  <c r="L25" i="1"/>
  <c r="L12" i="1" l="1"/>
  <c r="Q36" i="1"/>
  <c r="M33" i="1"/>
  <c r="Q33" i="1" s="1"/>
  <c r="M12" i="1" l="1"/>
  <c r="Q12" i="1" s="1"/>
</calcChain>
</file>

<file path=xl/sharedStrings.xml><?xml version="1.0" encoding="utf-8"?>
<sst xmlns="http://schemas.openxmlformats.org/spreadsheetml/2006/main" count="233" uniqueCount="54">
  <si>
    <t>Х</t>
  </si>
  <si>
    <t>всего</t>
  </si>
  <si>
    <t>код работы (услуги)</t>
  </si>
  <si>
    <t>вид работ (услуг)</t>
  </si>
  <si>
    <t xml:space="preserve">средства муниципальной поддержки из бюджетов муниципальных образований </t>
  </si>
  <si>
    <t xml:space="preserve">средства государственной поддержки за счет средств окружного бюджета </t>
  </si>
  <si>
    <t xml:space="preserve">Перечень многоквартирных домов </t>
  </si>
  <si>
    <t xml:space="preserve">реализации региональной программы капитального ремонта общего имущества в многоквартирных домах, </t>
  </si>
  <si>
    <t>РЕГИОНАЛЬНЫЙ КРАТКОСРОЧНЫЙ ПЛАН</t>
  </si>
  <si>
    <t>средства иных источников финансирования работ</t>
  </si>
  <si>
    <t>г. Губкинский</t>
  </si>
  <si>
    <t xml:space="preserve">№ п/п </t>
  </si>
  <si>
    <t>Количество зарегистрированных жителей (чел.)</t>
  </si>
  <si>
    <t>многоквартирный дом (№, корп.)</t>
  </si>
  <si>
    <t xml:space="preserve"> руб.</t>
  </si>
  <si>
    <t>руб.</t>
  </si>
  <si>
    <t>Стоимость работ по капитальному ремонту общего имущества в многоквартирных домах (руб.)</t>
  </si>
  <si>
    <t>1 мкр.</t>
  </si>
  <si>
    <t>КИ</t>
  </si>
  <si>
    <t>итого</t>
  </si>
  <si>
    <t>20</t>
  </si>
  <si>
    <t>9 мкр.</t>
  </si>
  <si>
    <t xml:space="preserve">итого </t>
  </si>
  <si>
    <t>11 мкр.</t>
  </si>
  <si>
    <t>12 мкр.</t>
  </si>
  <si>
    <t>14 мкр.</t>
  </si>
  <si>
    <t xml:space="preserve">разработка проектной документации по капитальному ремонту общего имущества в многоквартирном доме
</t>
  </si>
  <si>
    <t>ремонт фасада</t>
  </si>
  <si>
    <t>услуги по строительному контролю</t>
  </si>
  <si>
    <t>ремонт крыши</t>
  </si>
  <si>
    <t>08</t>
  </si>
  <si>
    <t>ремонт внутридомовых инженерных систем электроснабжения</t>
  </si>
  <si>
    <t>01</t>
  </si>
  <si>
    <t>ремонт внутридомовых инженерных систем водоснабжения</t>
  </si>
  <si>
    <t>04</t>
  </si>
  <si>
    <t>ремонт внутридомовых инженерных систем водоотведения</t>
  </si>
  <si>
    <t>05</t>
  </si>
  <si>
    <t>96</t>
  </si>
  <si>
    <t>Ассигнования, не распределенные муниципальным образованием город Губкинский в 2021 году</t>
  </si>
  <si>
    <t>Итого: муниципальное образование город Губкинский за 2021 год</t>
  </si>
  <si>
    <t>установка коллективных (общедомовых) приборов учета потребления тепловой энергии</t>
  </si>
  <si>
    <t>установка коллективных (общедомовых) приборов учета потребления горячей воды</t>
  </si>
  <si>
    <t>установка коллективных (общедомовых) приборов учета потребления холодной воды</t>
  </si>
  <si>
    <t xml:space="preserve">Перечень работ и (или) услуг по капитальному ремонту общего имущества в многоквартирном доме, включенном в краткосрочный план                                                                                                </t>
  </si>
  <si>
    <t>средства фондов капитального ремонта многоквартирных домов</t>
  </si>
  <si>
    <t xml:space="preserve">проведение проверки на предмет достоверности определения сметной стоимости капитального ремонта или проверки сметной документации на соответствие действующим нормативам в области ценообразования и сметного нормирования
</t>
  </si>
  <si>
    <t>Источники финансирования работ по капитальному ремонту общего имущества в многоквартирных домах на территории Ямало-Ненецкого автономного округа</t>
  </si>
  <si>
    <t>квартал, микрорайон, проспект, улица, переулок, проезд, поселок (кв., мкр., просп., ул., пер., проезд, пос.)</t>
  </si>
  <si>
    <t>город, поселок городского типа, поселок, село, деревня, населенный пункт 
(г., пгт, пос., с., д., н/п)</t>
  </si>
  <si>
    <t>Общая площадь многоквартир-ного дома (кв. м)</t>
  </si>
  <si>
    <t>конструктив (капитальное исполнение  (далее - КИ))</t>
  </si>
  <si>
    <t>Код ОКТМО муниципаль-ного образования в Ямало-Ненецком автономном округе (№)</t>
  </si>
  <si>
    <t>Наименование муниципального образования в Ямало-Ненецком автономном округе (городской округ, муниципальный район, муниципальный округ)</t>
  </si>
  <si>
    <t>расположенных на территории Ямало-Ненецкого автономного округа,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</si>
</sst>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2"/>
      <name val="PT Astra Serif"/>
      <family val="1"/>
      <charset val="204"/>
    </font>
    <font>
      <sz val="12"/>
      <color indexed="8"/>
      <name val="PT Astra Serif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PT Astra Serif"/>
      <family val="1"/>
      <charset val="204"/>
    </font>
    <font>
      <sz val="20"/>
      <color theme="1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0" xfId="0" applyFill="1" applyAlignment="1">
      <alignment vertical="top"/>
    </xf>
    <xf numFmtId="0" fontId="0" fillId="2" borderId="0" xfId="0" applyFill="1"/>
    <xf numFmtId="0" fontId="2" fillId="2" borderId="0" xfId="0" applyFont="1" applyFill="1"/>
    <xf numFmtId="0" fontId="5" fillId="0" borderId="1" xfId="4" applyFont="1" applyFill="1" applyBorder="1" applyAlignment="1">
      <alignment horizontal="left" vertical="top"/>
    </xf>
    <xf numFmtId="3" fontId="5" fillId="0" borderId="1" xfId="4" applyNumberFormat="1" applyFont="1" applyFill="1" applyBorder="1" applyAlignment="1">
      <alignment horizontal="center" vertical="top"/>
    </xf>
    <xf numFmtId="49" fontId="5" fillId="0" borderId="1" xfId="7" applyNumberFormat="1" applyFont="1" applyFill="1" applyBorder="1" applyAlignment="1">
      <alignment horizontal="center" vertical="top" wrapText="1"/>
    </xf>
    <xf numFmtId="0" fontId="5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left" vertical="top"/>
    </xf>
    <xf numFmtId="3" fontId="5" fillId="0" borderId="1" xfId="2" applyNumberFormat="1" applyFont="1" applyFill="1" applyBorder="1" applyAlignment="1">
      <alignment horizontal="center" vertical="top"/>
    </xf>
    <xf numFmtId="0" fontId="5" fillId="0" borderId="1" xfId="2" applyFont="1" applyFill="1" applyBorder="1" applyAlignment="1">
      <alignment horizontal="center" vertical="top"/>
    </xf>
    <xf numFmtId="0" fontId="5" fillId="0" borderId="4" xfId="2" applyNumberFormat="1" applyFont="1" applyFill="1" applyBorder="1" applyAlignment="1">
      <alignment horizontal="center" vertical="top"/>
    </xf>
    <xf numFmtId="2" fontId="5" fillId="0" borderId="1" xfId="2" applyNumberFormat="1" applyFont="1" applyFill="1" applyBorder="1" applyAlignment="1">
      <alignment horizontal="right" vertical="top"/>
    </xf>
    <xf numFmtId="0" fontId="5" fillId="0" borderId="5" xfId="2" applyNumberFormat="1" applyFont="1" applyFill="1" applyBorder="1" applyAlignment="1">
      <alignment horizontal="center" vertical="top"/>
    </xf>
    <xf numFmtId="0" fontId="5" fillId="0" borderId="5" xfId="2" applyFont="1" applyFill="1" applyBorder="1" applyAlignment="1">
      <alignment horizontal="left" vertical="top"/>
    </xf>
    <xf numFmtId="3" fontId="5" fillId="0" borderId="5" xfId="2" applyNumberFormat="1" applyFont="1" applyFill="1" applyBorder="1" applyAlignment="1">
      <alignment horizontal="center" vertical="top"/>
    </xf>
    <xf numFmtId="0" fontId="9" fillId="0" borderId="1" xfId="2" applyFont="1" applyFill="1" applyBorder="1" applyAlignment="1">
      <alignment vertical="top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2" applyNumberFormat="1" applyFont="1" applyFill="1" applyBorder="1" applyAlignment="1">
      <alignment horizontal="center" vertical="top" wrapText="1"/>
    </xf>
    <xf numFmtId="3" fontId="6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horizontal="center" vertical="top" wrapText="1"/>
    </xf>
    <xf numFmtId="49" fontId="5" fillId="0" borderId="1" xfId="1" applyNumberFormat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left" vertical="top"/>
    </xf>
    <xf numFmtId="0" fontId="6" fillId="0" borderId="1" xfId="2" applyFont="1" applyFill="1" applyBorder="1" applyAlignment="1">
      <alignment horizontal="left" vertical="top" wrapText="1"/>
    </xf>
    <xf numFmtId="0" fontId="1" fillId="0" borderId="0" xfId="2" applyFill="1"/>
    <xf numFmtId="3" fontId="5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0" fontId="5" fillId="0" borderId="4" xfId="2" applyFont="1" applyFill="1" applyBorder="1" applyAlignment="1">
      <alignment horizontal="center" vertical="top"/>
    </xf>
    <xf numFmtId="4" fontId="9" fillId="0" borderId="0" xfId="0" applyNumberFormat="1" applyFont="1" applyFill="1" applyAlignment="1">
      <alignment vertical="top"/>
    </xf>
    <xf numFmtId="49" fontId="5" fillId="0" borderId="4" xfId="1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>
      <alignment horizontal="right" vertical="top"/>
    </xf>
    <xf numFmtId="4" fontId="10" fillId="0" borderId="0" xfId="0" applyNumberFormat="1" applyFont="1" applyFill="1" applyBorder="1" applyAlignment="1">
      <alignment horizontal="right" vertical="top"/>
    </xf>
    <xf numFmtId="0" fontId="9" fillId="0" borderId="0" xfId="0" applyFont="1" applyFill="1" applyAlignment="1">
      <alignment vertical="top"/>
    </xf>
    <xf numFmtId="0" fontId="11" fillId="0" borderId="0" xfId="0" applyFont="1" applyFill="1" applyAlignment="1">
      <alignment vertical="top"/>
    </xf>
    <xf numFmtId="0" fontId="9" fillId="0" borderId="0" xfId="0" applyFont="1" applyFill="1" applyAlignment="1">
      <alignment horizontal="center" vertical="top"/>
    </xf>
    <xf numFmtId="4" fontId="9" fillId="0" borderId="0" xfId="0" applyNumberFormat="1" applyFont="1" applyFill="1" applyAlignment="1">
      <alignment horizontal="center" vertical="top"/>
    </xf>
    <xf numFmtId="3" fontId="9" fillId="0" borderId="0" xfId="0" applyNumberFormat="1" applyFont="1" applyFill="1" applyAlignment="1">
      <alignment horizontal="center" vertical="top"/>
    </xf>
    <xf numFmtId="2" fontId="6" fillId="0" borderId="1" xfId="4" applyNumberFormat="1" applyFont="1" applyFill="1" applyBorder="1" applyAlignment="1">
      <alignment horizontal="center" vertical="top"/>
    </xf>
    <xf numFmtId="4" fontId="9" fillId="0" borderId="1" xfId="2" applyNumberFormat="1" applyFont="1" applyFill="1" applyBorder="1" applyAlignment="1">
      <alignment horizontal="center" vertical="top"/>
    </xf>
    <xf numFmtId="0" fontId="9" fillId="0" borderId="1" xfId="2" applyFont="1" applyFill="1" applyBorder="1" applyAlignment="1">
      <alignment horizontal="center" vertical="top"/>
    </xf>
    <xf numFmtId="3" fontId="9" fillId="0" borderId="1" xfId="2" applyNumberFormat="1" applyFont="1" applyFill="1" applyBorder="1" applyAlignment="1">
      <alignment horizontal="center" vertical="top"/>
    </xf>
    <xf numFmtId="2" fontId="6" fillId="0" borderId="1" xfId="2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6" fillId="0" borderId="1" xfId="2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1" fillId="2" borderId="0" xfId="2" applyFill="1"/>
    <xf numFmtId="2" fontId="5" fillId="0" borderId="1" xfId="2" applyNumberFormat="1" applyFont="1" applyFill="1" applyBorder="1" applyAlignment="1">
      <alignment horizontal="center" vertical="top"/>
    </xf>
    <xf numFmtId="2" fontId="6" fillId="0" borderId="1" xfId="5" applyNumberFormat="1" applyFont="1" applyFill="1" applyBorder="1" applyAlignment="1">
      <alignment horizontal="center" vertical="top"/>
    </xf>
    <xf numFmtId="2" fontId="6" fillId="0" borderId="1" xfId="5" applyNumberFormat="1" applyFont="1" applyFill="1" applyBorder="1" applyAlignment="1">
      <alignment horizontal="center" vertical="top" wrapText="1"/>
    </xf>
    <xf numFmtId="2" fontId="5" fillId="0" borderId="5" xfId="2" applyNumberFormat="1" applyFont="1" applyFill="1" applyBorder="1" applyAlignment="1">
      <alignment horizontal="right" vertical="top"/>
    </xf>
    <xf numFmtId="2" fontId="9" fillId="0" borderId="1" xfId="2" applyNumberFormat="1" applyFont="1" applyFill="1" applyBorder="1" applyAlignment="1">
      <alignment vertical="top"/>
    </xf>
    <xf numFmtId="2" fontId="5" fillId="0" borderId="1" xfId="6" applyNumberFormat="1" applyFont="1" applyFill="1" applyBorder="1" applyAlignment="1">
      <alignment horizontal="center" vertical="top"/>
    </xf>
    <xf numFmtId="2" fontId="6" fillId="0" borderId="1" xfId="2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Alignment="1">
      <alignment vertical="top"/>
    </xf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4" fontId="5" fillId="0" borderId="0" xfId="0" applyNumberFormat="1" applyFont="1" applyFill="1" applyAlignment="1">
      <alignment horizontal="center" vertical="top"/>
    </xf>
    <xf numFmtId="3" fontId="5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4" fontId="5" fillId="0" borderId="1" xfId="1" applyNumberFormat="1" applyFont="1" applyFill="1" applyBorder="1" applyAlignment="1">
      <alignment horizontal="center" vertical="top" wrapText="1"/>
    </xf>
    <xf numFmtId="4" fontId="6" fillId="0" borderId="1" xfId="2" applyNumberFormat="1" applyFont="1" applyFill="1" applyBorder="1" applyAlignment="1">
      <alignment horizontal="center" vertical="top" wrapText="1"/>
    </xf>
    <xf numFmtId="4" fontId="5" fillId="0" borderId="1" xfId="2" applyNumberFormat="1" applyFont="1" applyFill="1" applyBorder="1" applyAlignment="1">
      <alignment horizontal="center" vertical="top"/>
    </xf>
    <xf numFmtId="4" fontId="5" fillId="0" borderId="1" xfId="8" applyNumberFormat="1" applyFont="1" applyFill="1" applyBorder="1" applyAlignment="1">
      <alignment horizontal="center" vertical="top"/>
    </xf>
    <xf numFmtId="4" fontId="5" fillId="0" borderId="6" xfId="2" applyNumberFormat="1" applyFont="1" applyFill="1" applyBorder="1" applyAlignment="1">
      <alignment horizontal="center" vertical="top"/>
    </xf>
    <xf numFmtId="4" fontId="5" fillId="0" borderId="1" xfId="2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5" xfId="2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Fill="1" applyBorder="1" applyAlignment="1">
      <alignment horizontal="center" vertical="top"/>
    </xf>
    <xf numFmtId="0" fontId="5" fillId="0" borderId="7" xfId="2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5" fillId="0" borderId="5" xfId="2" applyFont="1" applyFill="1" applyBorder="1" applyAlignment="1">
      <alignment horizontal="center" vertical="top"/>
    </xf>
    <xf numFmtId="0" fontId="5" fillId="0" borderId="7" xfId="2" applyFont="1" applyFill="1" applyBorder="1" applyAlignment="1">
      <alignment horizontal="center" vertical="top"/>
    </xf>
    <xf numFmtId="0" fontId="5" fillId="0" borderId="6" xfId="2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" fontId="7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4" fontId="5" fillId="2" borderId="1" xfId="0" applyNumberFormat="1" applyFont="1" applyFill="1" applyBorder="1" applyAlignment="1">
      <alignment horizontal="center" vertical="center" textRotation="90" wrapText="1"/>
    </xf>
    <xf numFmtId="4" fontId="5" fillId="0" borderId="5" xfId="0" applyNumberFormat="1" applyFont="1" applyFill="1" applyBorder="1" applyAlignment="1">
      <alignment horizontal="center" vertical="center" textRotation="90" wrapText="1"/>
    </xf>
    <xf numFmtId="4" fontId="5" fillId="0" borderId="7" xfId="0" applyNumberFormat="1" applyFont="1" applyFill="1" applyBorder="1" applyAlignment="1">
      <alignment horizontal="center" vertical="center" textRotation="90" wrapText="1"/>
    </xf>
    <xf numFmtId="4" fontId="5" fillId="0" borderId="6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 textRotation="90" wrapText="1"/>
    </xf>
    <xf numFmtId="3" fontId="7" fillId="0" borderId="1" xfId="0" applyNumberFormat="1" applyFont="1" applyFill="1" applyBorder="1" applyAlignment="1">
      <alignment horizontal="center" vertical="top" textRotation="90" wrapText="1"/>
    </xf>
    <xf numFmtId="0" fontId="6" fillId="0" borderId="4" xfId="2" applyFont="1" applyFill="1" applyBorder="1" applyAlignment="1">
      <alignment horizontal="left" vertical="top" wrapText="1"/>
    </xf>
    <xf numFmtId="0" fontId="6" fillId="0" borderId="3" xfId="2" applyFont="1" applyFill="1" applyBorder="1" applyAlignment="1">
      <alignment horizontal="left" vertical="top" wrapText="1"/>
    </xf>
    <xf numFmtId="0" fontId="6" fillId="0" borderId="2" xfId="2" applyFont="1" applyFill="1" applyBorder="1" applyAlignment="1">
      <alignment horizontal="left" vertical="top" wrapText="1"/>
    </xf>
  </cellXfs>
  <cellStyles count="15">
    <cellStyle name="Обычный" xfId="0" builtinId="0"/>
    <cellStyle name="Обычный 10" xfId="2"/>
    <cellStyle name="Обычный 10 2" xfId="13"/>
    <cellStyle name="Обычный 2" xfId="4"/>
    <cellStyle name="Обычный 2 2" xfId="11"/>
    <cellStyle name="Обычный 2 3" xfId="5"/>
    <cellStyle name="Обычный 3" xfId="9"/>
    <cellStyle name="Обычный 4 2" xfId="6"/>
    <cellStyle name="Обычный 4 2 2" xfId="12"/>
    <cellStyle name="Обычный 7" xfId="8"/>
    <cellStyle name="Обычный 9" xfId="3"/>
    <cellStyle name="Финансовый" xfId="1" builtinId="3"/>
    <cellStyle name="Финансовый 2" xfId="7"/>
    <cellStyle name="Финансовый 2 2" xfId="14"/>
    <cellStyle name="Финансовый 3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72"/>
  <sheetViews>
    <sheetView tabSelected="1" view="pageBreakPreview" zoomScale="70" zoomScaleNormal="76" zoomScaleSheetLayoutView="70" zoomScalePageLayoutView="60" workbookViewId="0">
      <selection activeCell="E82" sqref="E82"/>
    </sheetView>
  </sheetViews>
  <sheetFormatPr defaultColWidth="9.140625" defaultRowHeight="15" x14ac:dyDescent="0.25"/>
  <cols>
    <col min="1" max="1" width="5.5703125" style="39" customWidth="1"/>
    <col min="2" max="2" width="14.140625" style="39" customWidth="1"/>
    <col min="3" max="3" width="28.85546875" style="37" customWidth="1"/>
    <col min="4" max="4" width="24.42578125" style="37" customWidth="1"/>
    <col min="5" max="5" width="36" style="37" customWidth="1"/>
    <col min="6" max="6" width="19.42578125" style="40" customWidth="1"/>
    <col min="7" max="7" width="14.28515625" style="39" customWidth="1"/>
    <col min="8" max="8" width="18.7109375" style="31" customWidth="1"/>
    <col min="9" max="9" width="15.5703125" style="41" customWidth="1"/>
    <col min="10" max="10" width="50" style="38" customWidth="1"/>
    <col min="11" max="11" width="10" style="37" customWidth="1"/>
    <col min="12" max="12" width="19.5703125" style="31" customWidth="1"/>
    <col min="13" max="13" width="21.140625" style="31" customWidth="1"/>
    <col min="14" max="14" width="14.7109375" style="31" customWidth="1"/>
    <col min="15" max="15" width="22" style="31" customWidth="1"/>
    <col min="16" max="16" width="21.5703125" style="31" customWidth="1"/>
    <col min="17" max="17" width="19.85546875" style="31" customWidth="1"/>
    <col min="18" max="18" width="21.28515625" style="4" customWidth="1"/>
    <col min="19" max="19" width="9.140625" style="4"/>
    <col min="20" max="16384" width="9.140625" style="2"/>
  </cols>
  <sheetData>
    <row r="1" spans="1:19" ht="11.25" customHeight="1" x14ac:dyDescent="0.25">
      <c r="A1" s="89" t="s">
        <v>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19" ht="9" customHeight="1" x14ac:dyDescent="0.25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1:19" ht="18" customHeight="1" x14ac:dyDescent="0.25">
      <c r="A3" s="90" t="s">
        <v>7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</row>
    <row r="4" spans="1:19" ht="17.45" customHeight="1" x14ac:dyDescent="0.25">
      <c r="A4" s="90" t="s">
        <v>53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</row>
    <row r="5" spans="1:19" ht="11.25" customHeight="1" x14ac:dyDescent="0.25">
      <c r="A5" s="63"/>
      <c r="B5" s="63"/>
      <c r="C5" s="64"/>
      <c r="D5" s="64"/>
      <c r="E5" s="64"/>
      <c r="F5" s="65"/>
      <c r="G5" s="63"/>
      <c r="H5" s="62"/>
      <c r="I5" s="66"/>
      <c r="J5" s="67"/>
      <c r="K5" s="64"/>
      <c r="L5" s="62"/>
      <c r="M5" s="62"/>
      <c r="N5" s="62"/>
      <c r="O5" s="62"/>
      <c r="P5" s="62"/>
      <c r="Q5" s="62"/>
    </row>
    <row r="6" spans="1:19" ht="62.25" customHeight="1" x14ac:dyDescent="0.25">
      <c r="A6" s="92" t="s">
        <v>11</v>
      </c>
      <c r="B6" s="92" t="s">
        <v>51</v>
      </c>
      <c r="C6" s="92" t="s">
        <v>52</v>
      </c>
      <c r="D6" s="94" t="s">
        <v>6</v>
      </c>
      <c r="E6" s="95"/>
      <c r="F6" s="95"/>
      <c r="G6" s="96"/>
      <c r="H6" s="93" t="s">
        <v>49</v>
      </c>
      <c r="I6" s="102" t="s">
        <v>12</v>
      </c>
      <c r="J6" s="92" t="s">
        <v>43</v>
      </c>
      <c r="K6" s="92"/>
      <c r="L6" s="93" t="s">
        <v>16</v>
      </c>
      <c r="M6" s="91" t="s">
        <v>46</v>
      </c>
      <c r="N6" s="91"/>
      <c r="O6" s="91"/>
      <c r="P6" s="91"/>
      <c r="Q6" s="91"/>
    </row>
    <row r="7" spans="1:19" ht="93.75" customHeight="1" x14ac:dyDescent="0.25">
      <c r="A7" s="92"/>
      <c r="B7" s="92"/>
      <c r="C7" s="92"/>
      <c r="D7" s="92" t="s">
        <v>48</v>
      </c>
      <c r="E7" s="92" t="s">
        <v>47</v>
      </c>
      <c r="F7" s="93" t="s">
        <v>13</v>
      </c>
      <c r="G7" s="92" t="s">
        <v>50</v>
      </c>
      <c r="H7" s="93"/>
      <c r="I7" s="102"/>
      <c r="J7" s="92"/>
      <c r="K7" s="92"/>
      <c r="L7" s="93"/>
      <c r="M7" s="97" t="s">
        <v>44</v>
      </c>
      <c r="N7" s="98" t="s">
        <v>9</v>
      </c>
      <c r="O7" s="101" t="s">
        <v>5</v>
      </c>
      <c r="P7" s="101" t="s">
        <v>4</v>
      </c>
      <c r="Q7" s="101" t="s">
        <v>1</v>
      </c>
    </row>
    <row r="8" spans="1:19" ht="70.5" customHeight="1" x14ac:dyDescent="0.25">
      <c r="A8" s="92"/>
      <c r="B8" s="92"/>
      <c r="C8" s="92"/>
      <c r="D8" s="92"/>
      <c r="E8" s="92"/>
      <c r="F8" s="93"/>
      <c r="G8" s="92"/>
      <c r="H8" s="93"/>
      <c r="I8" s="102"/>
      <c r="J8" s="92"/>
      <c r="K8" s="92"/>
      <c r="L8" s="93"/>
      <c r="M8" s="97"/>
      <c r="N8" s="99"/>
      <c r="O8" s="101"/>
      <c r="P8" s="101"/>
      <c r="Q8" s="101"/>
    </row>
    <row r="9" spans="1:19" ht="15.75" customHeight="1" x14ac:dyDescent="0.25">
      <c r="A9" s="92"/>
      <c r="B9" s="92"/>
      <c r="C9" s="92"/>
      <c r="D9" s="92"/>
      <c r="E9" s="92"/>
      <c r="F9" s="93"/>
      <c r="G9" s="92"/>
      <c r="H9" s="93"/>
      <c r="I9" s="102"/>
      <c r="J9" s="92"/>
      <c r="K9" s="92"/>
      <c r="L9" s="93"/>
      <c r="M9" s="97"/>
      <c r="N9" s="100"/>
      <c r="O9" s="101"/>
      <c r="P9" s="101"/>
      <c r="Q9" s="101"/>
    </row>
    <row r="10" spans="1:19" s="3" customFormat="1" ht="51" customHeight="1" x14ac:dyDescent="0.25">
      <c r="A10" s="92"/>
      <c r="B10" s="92"/>
      <c r="C10" s="92"/>
      <c r="D10" s="92"/>
      <c r="E10" s="92"/>
      <c r="F10" s="93"/>
      <c r="G10" s="92"/>
      <c r="H10" s="93"/>
      <c r="I10" s="102"/>
      <c r="J10" s="47" t="s">
        <v>3</v>
      </c>
      <c r="K10" s="48" t="s">
        <v>2</v>
      </c>
      <c r="L10" s="49" t="s">
        <v>1</v>
      </c>
      <c r="M10" s="50" t="s">
        <v>14</v>
      </c>
      <c r="N10" s="50" t="s">
        <v>14</v>
      </c>
      <c r="O10" s="50" t="s">
        <v>15</v>
      </c>
      <c r="P10" s="50" t="s">
        <v>15</v>
      </c>
      <c r="Q10" s="50" t="s">
        <v>14</v>
      </c>
      <c r="R10" s="53"/>
      <c r="S10" s="53"/>
    </row>
    <row r="11" spans="1:19" s="1" customFormat="1" ht="15.75" x14ac:dyDescent="0.25">
      <c r="A11" s="52">
        <v>1</v>
      </c>
      <c r="B11" s="52">
        <v>2</v>
      </c>
      <c r="C11" s="52">
        <v>3</v>
      </c>
      <c r="D11" s="52">
        <v>4</v>
      </c>
      <c r="E11" s="52">
        <v>5</v>
      </c>
      <c r="F11" s="21">
        <v>6</v>
      </c>
      <c r="G11" s="21">
        <v>7</v>
      </c>
      <c r="H11" s="21">
        <v>8</v>
      </c>
      <c r="I11" s="21">
        <v>9</v>
      </c>
      <c r="J11" s="47">
        <v>10</v>
      </c>
      <c r="K11" s="47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28">
        <v>17</v>
      </c>
      <c r="R11" s="5"/>
      <c r="S11" s="5"/>
    </row>
    <row r="12" spans="1:19" s="4" customFormat="1" ht="15.75" customHeight="1" x14ac:dyDescent="0.25">
      <c r="A12" s="103" t="s">
        <v>39</v>
      </c>
      <c r="B12" s="104"/>
      <c r="C12" s="104"/>
      <c r="D12" s="104"/>
      <c r="E12" s="105"/>
      <c r="F12" s="19">
        <v>14</v>
      </c>
      <c r="G12" s="19" t="s">
        <v>0</v>
      </c>
      <c r="H12" s="61">
        <f>H14+H18+H21+H25+H33+H37+H48+H57+H60+H63+H66+H69+H54+H45</f>
        <v>43076.5</v>
      </c>
      <c r="I12" s="51">
        <f>I14+I18+I21+I25+I33+I37+I48+I57+I60+I63+I66+I69+I54+I45</f>
        <v>1516</v>
      </c>
      <c r="J12" s="19" t="s">
        <v>0</v>
      </c>
      <c r="K12" s="20" t="s">
        <v>0</v>
      </c>
      <c r="L12" s="69">
        <f>L14+L18+L21+L25+L33+L37+L48+L57+L60+L63+L66+L69+L54+L45</f>
        <v>47214794.219999999</v>
      </c>
      <c r="M12" s="69">
        <f>M14+M18+M21+M25+M33+M37+M48+M57+M60+M63+M66+M69+M54+M45</f>
        <v>45458794.219999999</v>
      </c>
      <c r="N12" s="69">
        <f>N14+N18+N21+N25+N33+N37+N48+N57+N60+N63+N66+N69+N54</f>
        <v>0</v>
      </c>
      <c r="O12" s="69">
        <f>O14+O18+O21+O25+O33+O37+O48+O57+O60+O63+O66+O69+O54+O45+O13</f>
        <v>1670000</v>
      </c>
      <c r="P12" s="69">
        <f>P14+P18+P21+P25+P33+P37+P48+P57+P60+P63+P66+P69+P54+P45</f>
        <v>87800</v>
      </c>
      <c r="Q12" s="78">
        <f>M12+N12+O12+P12</f>
        <v>47216594.219999999</v>
      </c>
    </row>
    <row r="13" spans="1:19" s="4" customFormat="1" ht="15.75" customHeight="1" x14ac:dyDescent="0.25">
      <c r="A13" s="76"/>
      <c r="B13" s="83" t="s">
        <v>38</v>
      </c>
      <c r="C13" s="84"/>
      <c r="D13" s="84"/>
      <c r="E13" s="84"/>
      <c r="F13" s="84"/>
      <c r="G13" s="84"/>
      <c r="H13" s="84"/>
      <c r="I13" s="85"/>
      <c r="J13" s="76" t="s">
        <v>0</v>
      </c>
      <c r="K13" s="22" t="s">
        <v>0</v>
      </c>
      <c r="L13" s="68"/>
      <c r="M13" s="68"/>
      <c r="N13" s="68"/>
      <c r="O13" s="79">
        <v>1800</v>
      </c>
      <c r="P13" s="68"/>
      <c r="Q13" s="78">
        <f>M13+N13+O13+P13</f>
        <v>1800</v>
      </c>
    </row>
    <row r="14" spans="1:19" s="4" customFormat="1" ht="15.75" customHeight="1" x14ac:dyDescent="0.25">
      <c r="A14" s="86">
        <v>1</v>
      </c>
      <c r="B14" s="9">
        <v>71952000</v>
      </c>
      <c r="C14" s="10" t="s">
        <v>10</v>
      </c>
      <c r="D14" s="10" t="s">
        <v>10</v>
      </c>
      <c r="E14" s="10" t="s">
        <v>17</v>
      </c>
      <c r="F14" s="11">
        <v>14</v>
      </c>
      <c r="G14" s="12" t="s">
        <v>18</v>
      </c>
      <c r="H14" s="55">
        <v>4279.6000000000004</v>
      </c>
      <c r="I14" s="11">
        <v>104</v>
      </c>
      <c r="J14" s="26" t="s">
        <v>19</v>
      </c>
      <c r="K14" s="30" t="s">
        <v>0</v>
      </c>
      <c r="L14" s="70">
        <f>L15+L17+L16</f>
        <v>8245875.9199999999</v>
      </c>
      <c r="M14" s="70">
        <f t="shared" ref="M14:P14" si="0">M15+M17+M16</f>
        <v>8245875.9199999999</v>
      </c>
      <c r="N14" s="70">
        <f t="shared" si="0"/>
        <v>0</v>
      </c>
      <c r="O14" s="70">
        <f t="shared" si="0"/>
        <v>0</v>
      </c>
      <c r="P14" s="70">
        <f t="shared" si="0"/>
        <v>0</v>
      </c>
      <c r="Q14" s="78">
        <f>M14+N14+O14+P14</f>
        <v>8245875.9199999999</v>
      </c>
    </row>
    <row r="15" spans="1:19" s="4" customFormat="1" ht="15.75" customHeight="1" x14ac:dyDescent="0.25">
      <c r="A15" s="87"/>
      <c r="B15" s="9">
        <v>71952000</v>
      </c>
      <c r="C15" s="10" t="s">
        <v>10</v>
      </c>
      <c r="D15" s="10"/>
      <c r="E15" s="10"/>
      <c r="F15" s="11"/>
      <c r="G15" s="12"/>
      <c r="H15" s="14"/>
      <c r="I15" s="11"/>
      <c r="J15" s="75" t="s">
        <v>29</v>
      </c>
      <c r="K15" s="24" t="s">
        <v>30</v>
      </c>
      <c r="L15" s="69">
        <v>4856303.1100000003</v>
      </c>
      <c r="M15" s="70">
        <f>L15</f>
        <v>4856303.1100000003</v>
      </c>
      <c r="N15" s="70"/>
      <c r="O15" s="70"/>
      <c r="P15" s="70"/>
      <c r="Q15" s="78">
        <f>M15+N15+O15+P15</f>
        <v>4856303.1100000003</v>
      </c>
    </row>
    <row r="16" spans="1:19" s="4" customFormat="1" ht="15.75" customHeight="1" x14ac:dyDescent="0.25">
      <c r="A16" s="87"/>
      <c r="B16" s="9">
        <v>71952000</v>
      </c>
      <c r="C16" s="10" t="s">
        <v>10</v>
      </c>
      <c r="D16" s="10"/>
      <c r="E16" s="10"/>
      <c r="F16" s="11"/>
      <c r="G16" s="12"/>
      <c r="H16" s="14"/>
      <c r="I16" s="11"/>
      <c r="J16" s="75" t="s">
        <v>27</v>
      </c>
      <c r="K16" s="9">
        <v>10</v>
      </c>
      <c r="L16" s="69">
        <v>3216808.23</v>
      </c>
      <c r="M16" s="70">
        <f>L16</f>
        <v>3216808.23</v>
      </c>
      <c r="N16" s="70"/>
      <c r="O16" s="70"/>
      <c r="P16" s="70"/>
      <c r="Q16" s="78">
        <f t="shared" ref="Q16:Q44" si="1">M16+N16+O16+P16</f>
        <v>3216808.23</v>
      </c>
    </row>
    <row r="17" spans="1:17" s="4" customFormat="1" ht="15.75" customHeight="1" x14ac:dyDescent="0.25">
      <c r="A17" s="88"/>
      <c r="B17" s="9">
        <v>71952000</v>
      </c>
      <c r="C17" s="10" t="s">
        <v>10</v>
      </c>
      <c r="D17" s="10"/>
      <c r="E17" s="10"/>
      <c r="F17" s="11"/>
      <c r="G17" s="12"/>
      <c r="H17" s="14"/>
      <c r="I17" s="11"/>
      <c r="J17" s="75" t="s">
        <v>28</v>
      </c>
      <c r="K17" s="13">
        <v>21</v>
      </c>
      <c r="L17" s="29">
        <f>ROUND((L16+L15)/100*2.14,2)</f>
        <v>172764.58</v>
      </c>
      <c r="M17" s="78">
        <f>L17</f>
        <v>172764.58</v>
      </c>
      <c r="N17" s="70"/>
      <c r="O17" s="70"/>
      <c r="P17" s="70"/>
      <c r="Q17" s="78">
        <f t="shared" si="1"/>
        <v>172764.58</v>
      </c>
    </row>
    <row r="18" spans="1:17" s="4" customFormat="1" ht="15.75" customHeight="1" x14ac:dyDescent="0.25">
      <c r="A18" s="86">
        <v>2</v>
      </c>
      <c r="B18" s="9">
        <v>71952000</v>
      </c>
      <c r="C18" s="10" t="s">
        <v>10</v>
      </c>
      <c r="D18" s="10" t="s">
        <v>10</v>
      </c>
      <c r="E18" s="10" t="s">
        <v>17</v>
      </c>
      <c r="F18" s="11">
        <v>16</v>
      </c>
      <c r="G18" s="12" t="s">
        <v>18</v>
      </c>
      <c r="H18" s="56">
        <v>5310.4</v>
      </c>
      <c r="I18" s="11">
        <v>137</v>
      </c>
      <c r="J18" s="26" t="s">
        <v>19</v>
      </c>
      <c r="K18" s="30" t="s">
        <v>0</v>
      </c>
      <c r="L18" s="70">
        <f>L19+L20</f>
        <v>6331612.9699999997</v>
      </c>
      <c r="M18" s="70">
        <f t="shared" ref="M18:P18" si="2">M19+M20</f>
        <v>6331612.9699999997</v>
      </c>
      <c r="N18" s="70">
        <f t="shared" si="2"/>
        <v>0</v>
      </c>
      <c r="O18" s="70">
        <f t="shared" si="2"/>
        <v>0</v>
      </c>
      <c r="P18" s="70">
        <f t="shared" si="2"/>
        <v>0</v>
      </c>
      <c r="Q18" s="78">
        <f t="shared" si="1"/>
        <v>6331612.9699999997</v>
      </c>
    </row>
    <row r="19" spans="1:17" s="4" customFormat="1" ht="15.75" customHeight="1" x14ac:dyDescent="0.25">
      <c r="A19" s="87"/>
      <c r="B19" s="9">
        <v>71952000</v>
      </c>
      <c r="C19" s="10" t="s">
        <v>10</v>
      </c>
      <c r="D19" s="10"/>
      <c r="E19" s="10"/>
      <c r="F19" s="11"/>
      <c r="G19" s="12"/>
      <c r="H19" s="14"/>
      <c r="I19" s="11"/>
      <c r="J19" s="75" t="s">
        <v>29</v>
      </c>
      <c r="K19" s="24" t="s">
        <v>30</v>
      </c>
      <c r="L19" s="70">
        <v>6198955.3300000001</v>
      </c>
      <c r="M19" s="70">
        <f>L19</f>
        <v>6198955.3300000001</v>
      </c>
      <c r="N19" s="70"/>
      <c r="O19" s="70"/>
      <c r="P19" s="70"/>
      <c r="Q19" s="78">
        <f t="shared" si="1"/>
        <v>6198955.3300000001</v>
      </c>
    </row>
    <row r="20" spans="1:17" s="4" customFormat="1" ht="15.75" customHeight="1" x14ac:dyDescent="0.25">
      <c r="A20" s="88"/>
      <c r="B20" s="9">
        <v>71952000</v>
      </c>
      <c r="C20" s="10" t="s">
        <v>10</v>
      </c>
      <c r="D20" s="10"/>
      <c r="E20" s="10"/>
      <c r="F20" s="11"/>
      <c r="G20" s="12"/>
      <c r="H20" s="14"/>
      <c r="I20" s="11"/>
      <c r="J20" s="75" t="s">
        <v>28</v>
      </c>
      <c r="K20" s="13">
        <v>21</v>
      </c>
      <c r="L20" s="70">
        <f>ROUND(L19*2.14%,2)</f>
        <v>132657.64000000001</v>
      </c>
      <c r="M20" s="70">
        <f>L20</f>
        <v>132657.64000000001</v>
      </c>
      <c r="N20" s="70"/>
      <c r="O20" s="70"/>
      <c r="P20" s="70"/>
      <c r="Q20" s="78">
        <f t="shared" si="1"/>
        <v>132657.64000000001</v>
      </c>
    </row>
    <row r="21" spans="1:17" s="4" customFormat="1" ht="15.75" customHeight="1" x14ac:dyDescent="0.25">
      <c r="A21" s="86">
        <v>3</v>
      </c>
      <c r="B21" s="9">
        <v>71952000</v>
      </c>
      <c r="C21" s="10" t="s">
        <v>10</v>
      </c>
      <c r="D21" s="10" t="s">
        <v>10</v>
      </c>
      <c r="E21" s="10" t="s">
        <v>17</v>
      </c>
      <c r="F21" s="11">
        <v>22</v>
      </c>
      <c r="G21" s="12" t="s">
        <v>18</v>
      </c>
      <c r="H21" s="42">
        <v>6660.5</v>
      </c>
      <c r="I21" s="11">
        <v>182</v>
      </c>
      <c r="J21" s="26" t="s">
        <v>19</v>
      </c>
      <c r="K21" s="30" t="s">
        <v>0</v>
      </c>
      <c r="L21" s="70">
        <f>L22+L24+L23</f>
        <v>12474393.460000001</v>
      </c>
      <c r="M21" s="70">
        <f t="shared" ref="M21:P21" si="3">M22+M24+M23</f>
        <v>12474393.460000001</v>
      </c>
      <c r="N21" s="70">
        <f t="shared" si="3"/>
        <v>0</v>
      </c>
      <c r="O21" s="70">
        <f t="shared" si="3"/>
        <v>0</v>
      </c>
      <c r="P21" s="70">
        <f t="shared" si="3"/>
        <v>0</v>
      </c>
      <c r="Q21" s="78">
        <f t="shared" si="1"/>
        <v>12474393.460000001</v>
      </c>
    </row>
    <row r="22" spans="1:17" s="4" customFormat="1" ht="15.75" customHeight="1" x14ac:dyDescent="0.25">
      <c r="A22" s="87"/>
      <c r="B22" s="9">
        <v>71952000</v>
      </c>
      <c r="C22" s="10" t="s">
        <v>10</v>
      </c>
      <c r="D22" s="10"/>
      <c r="E22" s="10"/>
      <c r="F22" s="11"/>
      <c r="G22" s="12"/>
      <c r="H22" s="14"/>
      <c r="I22" s="11"/>
      <c r="J22" s="75" t="s">
        <v>29</v>
      </c>
      <c r="K22" s="24" t="s">
        <v>30</v>
      </c>
      <c r="L22" s="69">
        <v>7346634.4000000004</v>
      </c>
      <c r="M22" s="70">
        <f>L22</f>
        <v>7346634.4000000004</v>
      </c>
      <c r="N22" s="70"/>
      <c r="O22" s="70"/>
      <c r="P22" s="70"/>
      <c r="Q22" s="78">
        <f t="shared" si="1"/>
        <v>7346634.4000000004</v>
      </c>
    </row>
    <row r="23" spans="1:17" s="4" customFormat="1" ht="15.75" customHeight="1" x14ac:dyDescent="0.25">
      <c r="A23" s="87"/>
      <c r="B23" s="9">
        <v>71952000</v>
      </c>
      <c r="C23" s="10" t="s">
        <v>10</v>
      </c>
      <c r="D23" s="10"/>
      <c r="E23" s="10"/>
      <c r="F23" s="11"/>
      <c r="G23" s="12"/>
      <c r="H23" s="14"/>
      <c r="I23" s="11"/>
      <c r="J23" s="75" t="s">
        <v>27</v>
      </c>
      <c r="K23" s="9">
        <v>10</v>
      </c>
      <c r="L23" s="69">
        <v>4866400.12</v>
      </c>
      <c r="M23" s="70">
        <f>L23</f>
        <v>4866400.12</v>
      </c>
      <c r="N23" s="70"/>
      <c r="O23" s="70"/>
      <c r="P23" s="70"/>
      <c r="Q23" s="78">
        <f t="shared" si="1"/>
        <v>4866400.12</v>
      </c>
    </row>
    <row r="24" spans="1:17" s="4" customFormat="1" ht="15.75" customHeight="1" x14ac:dyDescent="0.25">
      <c r="A24" s="88"/>
      <c r="B24" s="9">
        <v>71952000</v>
      </c>
      <c r="C24" s="10" t="s">
        <v>10</v>
      </c>
      <c r="D24" s="10"/>
      <c r="E24" s="10"/>
      <c r="F24" s="11"/>
      <c r="G24" s="12"/>
      <c r="H24" s="14"/>
      <c r="I24" s="11"/>
      <c r="J24" s="75" t="s">
        <v>28</v>
      </c>
      <c r="K24" s="13">
        <v>21</v>
      </c>
      <c r="L24" s="70">
        <f>ROUND((L22+L23)*2.14%,2)</f>
        <v>261358.94</v>
      </c>
      <c r="M24" s="70">
        <f>L24</f>
        <v>261358.94</v>
      </c>
      <c r="N24" s="70"/>
      <c r="O24" s="70"/>
      <c r="P24" s="70"/>
      <c r="Q24" s="78">
        <f t="shared" si="1"/>
        <v>261358.94</v>
      </c>
    </row>
    <row r="25" spans="1:17" s="4" customFormat="1" ht="15.75" customHeight="1" x14ac:dyDescent="0.25">
      <c r="A25" s="86">
        <v>4</v>
      </c>
      <c r="B25" s="9">
        <v>71952000</v>
      </c>
      <c r="C25" s="10" t="s">
        <v>10</v>
      </c>
      <c r="D25" s="10" t="s">
        <v>10</v>
      </c>
      <c r="E25" s="6" t="s">
        <v>17</v>
      </c>
      <c r="F25" s="12">
        <v>56</v>
      </c>
      <c r="G25" s="12" t="s">
        <v>18</v>
      </c>
      <c r="H25" s="56">
        <v>826.6</v>
      </c>
      <c r="I25" s="7">
        <v>31</v>
      </c>
      <c r="J25" s="25" t="s">
        <v>22</v>
      </c>
      <c r="K25" s="12" t="s">
        <v>0</v>
      </c>
      <c r="L25" s="69">
        <f>L26+L27+L28+L32+L29+L30+L31</f>
        <v>2255975.1</v>
      </c>
      <c r="M25" s="69">
        <f t="shared" ref="M25:P25" si="4">M26+M27+M28+M32+M29+M30+M31</f>
        <v>2255975.1</v>
      </c>
      <c r="N25" s="69">
        <f t="shared" si="4"/>
        <v>0</v>
      </c>
      <c r="O25" s="69">
        <f t="shared" si="4"/>
        <v>0</v>
      </c>
      <c r="P25" s="69">
        <f t="shared" si="4"/>
        <v>0</v>
      </c>
      <c r="Q25" s="78">
        <f t="shared" si="1"/>
        <v>2255975.1</v>
      </c>
    </row>
    <row r="26" spans="1:17" s="4" customFormat="1" ht="31.5" customHeight="1" x14ac:dyDescent="0.25">
      <c r="A26" s="87"/>
      <c r="B26" s="9">
        <v>71952000</v>
      </c>
      <c r="C26" s="10" t="s">
        <v>10</v>
      </c>
      <c r="D26" s="10"/>
      <c r="E26" s="10"/>
      <c r="F26" s="12"/>
      <c r="G26" s="12"/>
      <c r="H26" s="14"/>
      <c r="I26" s="11"/>
      <c r="J26" s="75" t="s">
        <v>31</v>
      </c>
      <c r="K26" s="8" t="s">
        <v>32</v>
      </c>
      <c r="L26" s="69">
        <f>ROUND(((678*1.1372*(301.06+75.64+332.98))/1.0314),2)</f>
        <v>530520.27</v>
      </c>
      <c r="M26" s="70">
        <f>L26</f>
        <v>530520.27</v>
      </c>
      <c r="N26" s="70"/>
      <c r="O26" s="70"/>
      <c r="P26" s="70"/>
      <c r="Q26" s="78">
        <f t="shared" si="1"/>
        <v>530520.27</v>
      </c>
    </row>
    <row r="27" spans="1:17" s="4" customFormat="1" ht="31.5" customHeight="1" x14ac:dyDescent="0.25">
      <c r="A27" s="87"/>
      <c r="B27" s="9">
        <v>71952000</v>
      </c>
      <c r="C27" s="10" t="s">
        <v>10</v>
      </c>
      <c r="D27" s="10"/>
      <c r="E27" s="10"/>
      <c r="F27" s="12"/>
      <c r="G27" s="12"/>
      <c r="H27" s="14"/>
      <c r="I27" s="11"/>
      <c r="J27" s="26" t="s">
        <v>33</v>
      </c>
      <c r="K27" s="24" t="s">
        <v>34</v>
      </c>
      <c r="L27" s="69">
        <v>1234066.1799999997</v>
      </c>
      <c r="M27" s="70">
        <f>L27</f>
        <v>1234066.1799999997</v>
      </c>
      <c r="N27" s="70"/>
      <c r="O27" s="70"/>
      <c r="P27" s="70"/>
      <c r="Q27" s="78">
        <f t="shared" si="1"/>
        <v>1234066.1799999997</v>
      </c>
    </row>
    <row r="28" spans="1:17" s="4" customFormat="1" ht="31.5" customHeight="1" x14ac:dyDescent="0.25">
      <c r="A28" s="87"/>
      <c r="B28" s="9">
        <v>71952000</v>
      </c>
      <c r="C28" s="10" t="s">
        <v>10</v>
      </c>
      <c r="D28" s="10"/>
      <c r="E28" s="10"/>
      <c r="F28" s="12"/>
      <c r="G28" s="12"/>
      <c r="H28" s="14"/>
      <c r="I28" s="11"/>
      <c r="J28" s="26" t="s">
        <v>35</v>
      </c>
      <c r="K28" s="24" t="s">
        <v>36</v>
      </c>
      <c r="L28" s="69">
        <f>ROUND(((678*1.1372*387.1)/1.0314),2)</f>
        <v>289376.05</v>
      </c>
      <c r="M28" s="70">
        <f>L28</f>
        <v>289376.05</v>
      </c>
      <c r="N28" s="70"/>
      <c r="O28" s="70"/>
      <c r="P28" s="70"/>
      <c r="Q28" s="78">
        <f t="shared" si="1"/>
        <v>289376.05</v>
      </c>
    </row>
    <row r="29" spans="1:17" s="4" customFormat="1" ht="51" customHeight="1" x14ac:dyDescent="0.25">
      <c r="A29" s="87"/>
      <c r="B29" s="33">
        <v>71952000</v>
      </c>
      <c r="C29" s="34" t="s">
        <v>10</v>
      </c>
      <c r="D29" s="34"/>
      <c r="E29" s="34"/>
      <c r="F29" s="74"/>
      <c r="G29" s="74"/>
      <c r="H29" s="35"/>
      <c r="I29" s="28"/>
      <c r="J29" s="75" t="s">
        <v>40</v>
      </c>
      <c r="K29" s="32">
        <v>25</v>
      </c>
      <c r="L29" s="23">
        <v>67877.41</v>
      </c>
      <c r="M29" s="29">
        <f t="shared" ref="M29:M31" si="5">L29</f>
        <v>67877.41</v>
      </c>
      <c r="N29" s="29"/>
      <c r="O29" s="29"/>
      <c r="P29" s="29"/>
      <c r="Q29" s="78">
        <f t="shared" si="1"/>
        <v>67877.41</v>
      </c>
    </row>
    <row r="30" spans="1:17" s="4" customFormat="1" ht="36" customHeight="1" x14ac:dyDescent="0.25">
      <c r="A30" s="87"/>
      <c r="B30" s="33">
        <v>71952000</v>
      </c>
      <c r="C30" s="34" t="s">
        <v>10</v>
      </c>
      <c r="D30" s="34"/>
      <c r="E30" s="34"/>
      <c r="F30" s="74"/>
      <c r="G30" s="74"/>
      <c r="H30" s="35"/>
      <c r="I30" s="28"/>
      <c r="J30" s="75" t="s">
        <v>41</v>
      </c>
      <c r="K30" s="32">
        <v>26</v>
      </c>
      <c r="L30" s="23">
        <v>43434.41</v>
      </c>
      <c r="M30" s="29">
        <f t="shared" si="5"/>
        <v>43434.41</v>
      </c>
      <c r="N30" s="29"/>
      <c r="O30" s="29"/>
      <c r="P30" s="29"/>
      <c r="Q30" s="78">
        <f t="shared" si="1"/>
        <v>43434.41</v>
      </c>
    </row>
    <row r="31" spans="1:17" s="4" customFormat="1" ht="36" customHeight="1" x14ac:dyDescent="0.25">
      <c r="A31" s="87"/>
      <c r="B31" s="33">
        <v>71952000</v>
      </c>
      <c r="C31" s="34" t="s">
        <v>10</v>
      </c>
      <c r="D31" s="34"/>
      <c r="E31" s="34"/>
      <c r="F31" s="74"/>
      <c r="G31" s="74"/>
      <c r="H31" s="35"/>
      <c r="I31" s="28"/>
      <c r="J31" s="75" t="s">
        <v>42</v>
      </c>
      <c r="K31" s="32">
        <v>27</v>
      </c>
      <c r="L31" s="23">
        <v>43434.41</v>
      </c>
      <c r="M31" s="29">
        <f t="shared" si="5"/>
        <v>43434.41</v>
      </c>
      <c r="N31" s="29"/>
      <c r="O31" s="29"/>
      <c r="P31" s="29"/>
      <c r="Q31" s="78">
        <f t="shared" si="1"/>
        <v>43434.41</v>
      </c>
    </row>
    <row r="32" spans="1:17" s="4" customFormat="1" ht="15.75" customHeight="1" x14ac:dyDescent="0.25">
      <c r="A32" s="88"/>
      <c r="B32" s="9">
        <v>71952000</v>
      </c>
      <c r="C32" s="10" t="s">
        <v>10</v>
      </c>
      <c r="D32" s="10"/>
      <c r="E32" s="10"/>
      <c r="F32" s="12"/>
      <c r="G32" s="12"/>
      <c r="H32" s="14"/>
      <c r="I32" s="11"/>
      <c r="J32" s="75" t="s">
        <v>28</v>
      </c>
      <c r="K32" s="9">
        <v>21</v>
      </c>
      <c r="L32" s="70">
        <f>ROUND((L26+L27+L28+L29+L30+L31)*2.14%,2)</f>
        <v>47266.37</v>
      </c>
      <c r="M32" s="70">
        <f>L32</f>
        <v>47266.37</v>
      </c>
      <c r="N32" s="70"/>
      <c r="O32" s="70"/>
      <c r="P32" s="70"/>
      <c r="Q32" s="78">
        <f t="shared" si="1"/>
        <v>47266.37</v>
      </c>
    </row>
    <row r="33" spans="1:17" s="4" customFormat="1" ht="15.75" customHeight="1" x14ac:dyDescent="0.25">
      <c r="A33" s="86">
        <v>5</v>
      </c>
      <c r="B33" s="9">
        <v>71952000</v>
      </c>
      <c r="C33" s="10" t="s">
        <v>10</v>
      </c>
      <c r="D33" s="10" t="s">
        <v>10</v>
      </c>
      <c r="E33" s="26" t="s">
        <v>21</v>
      </c>
      <c r="F33" s="11">
        <v>17</v>
      </c>
      <c r="G33" s="12" t="s">
        <v>18</v>
      </c>
      <c r="H33" s="42">
        <v>3485.2</v>
      </c>
      <c r="I33" s="11">
        <v>138</v>
      </c>
      <c r="J33" s="26" t="s">
        <v>19</v>
      </c>
      <c r="K33" s="30" t="s">
        <v>0</v>
      </c>
      <c r="L33" s="69">
        <f>L34+L35+L36</f>
        <v>3813542.72</v>
      </c>
      <c r="M33" s="69">
        <f t="shared" ref="M33:P33" si="6">M34+M35+M36</f>
        <v>3813542.72</v>
      </c>
      <c r="N33" s="69">
        <f t="shared" si="6"/>
        <v>0</v>
      </c>
      <c r="O33" s="69">
        <f t="shared" si="6"/>
        <v>0</v>
      </c>
      <c r="P33" s="69">
        <f t="shared" si="6"/>
        <v>0</v>
      </c>
      <c r="Q33" s="78">
        <f t="shared" si="1"/>
        <v>3813542.72</v>
      </c>
    </row>
    <row r="34" spans="1:17" s="4" customFormat="1" ht="31.5" customHeight="1" x14ac:dyDescent="0.25">
      <c r="A34" s="87"/>
      <c r="B34" s="9">
        <v>71952000</v>
      </c>
      <c r="C34" s="10" t="s">
        <v>10</v>
      </c>
      <c r="D34" s="10"/>
      <c r="E34" s="10"/>
      <c r="F34" s="11"/>
      <c r="G34" s="12"/>
      <c r="H34" s="14"/>
      <c r="I34" s="11"/>
      <c r="J34" s="26" t="s">
        <v>33</v>
      </c>
      <c r="K34" s="24" t="s">
        <v>34</v>
      </c>
      <c r="L34" s="69">
        <f>ROUND(((3141.7*1.1372*(278.64+549))/1.0314),2)</f>
        <v>2866922.2</v>
      </c>
      <c r="M34" s="70">
        <f>L34</f>
        <v>2866922.2</v>
      </c>
      <c r="N34" s="70"/>
      <c r="O34" s="70"/>
      <c r="P34" s="70"/>
      <c r="Q34" s="78">
        <f t="shared" si="1"/>
        <v>2866922.2</v>
      </c>
    </row>
    <row r="35" spans="1:17" s="4" customFormat="1" ht="31.5" customHeight="1" x14ac:dyDescent="0.25">
      <c r="A35" s="87"/>
      <c r="B35" s="9">
        <v>71952000</v>
      </c>
      <c r="C35" s="10" t="s">
        <v>10</v>
      </c>
      <c r="D35" s="10"/>
      <c r="E35" s="10"/>
      <c r="F35" s="11"/>
      <c r="G35" s="12"/>
      <c r="H35" s="14"/>
      <c r="I35" s="11"/>
      <c r="J35" s="26" t="s">
        <v>35</v>
      </c>
      <c r="K35" s="24" t="s">
        <v>36</v>
      </c>
      <c r="L35" s="69">
        <f>ROUND(((3141.7*1.1372*250.21)/1.0314),2)</f>
        <v>866720.56</v>
      </c>
      <c r="M35" s="70">
        <f>L35</f>
        <v>866720.56</v>
      </c>
      <c r="N35" s="70"/>
      <c r="O35" s="70"/>
      <c r="P35" s="70"/>
      <c r="Q35" s="78">
        <f t="shared" si="1"/>
        <v>866720.56</v>
      </c>
    </row>
    <row r="36" spans="1:17" s="4" customFormat="1" ht="15.75" customHeight="1" x14ac:dyDescent="0.25">
      <c r="A36" s="88"/>
      <c r="B36" s="9">
        <v>71952000</v>
      </c>
      <c r="C36" s="10" t="s">
        <v>10</v>
      </c>
      <c r="D36" s="10"/>
      <c r="E36" s="10"/>
      <c r="F36" s="11"/>
      <c r="G36" s="12"/>
      <c r="H36" s="14"/>
      <c r="I36" s="11"/>
      <c r="J36" s="75" t="s">
        <v>28</v>
      </c>
      <c r="K36" s="13">
        <v>21</v>
      </c>
      <c r="L36" s="70">
        <f>ROUND((L34+L35)*2.14%,2)</f>
        <v>79899.960000000006</v>
      </c>
      <c r="M36" s="70">
        <f>L36</f>
        <v>79899.960000000006</v>
      </c>
      <c r="N36" s="70"/>
      <c r="O36" s="70"/>
      <c r="P36" s="70"/>
      <c r="Q36" s="78">
        <f t="shared" si="1"/>
        <v>79899.960000000006</v>
      </c>
    </row>
    <row r="37" spans="1:17" s="4" customFormat="1" ht="15.75" customHeight="1" x14ac:dyDescent="0.25">
      <c r="A37" s="86">
        <v>6</v>
      </c>
      <c r="B37" s="9">
        <v>71952000</v>
      </c>
      <c r="C37" s="10" t="s">
        <v>10</v>
      </c>
      <c r="D37" s="10" t="s">
        <v>10</v>
      </c>
      <c r="E37" s="10" t="s">
        <v>23</v>
      </c>
      <c r="F37" s="12">
        <v>34</v>
      </c>
      <c r="G37" s="12" t="s">
        <v>18</v>
      </c>
      <c r="H37" s="56">
        <v>827.1</v>
      </c>
      <c r="I37" s="11">
        <v>38</v>
      </c>
      <c r="J37" s="26" t="s">
        <v>19</v>
      </c>
      <c r="K37" s="30" t="s">
        <v>0</v>
      </c>
      <c r="L37" s="69">
        <f>L38+L39+L40+L44+L41+L42+L43</f>
        <v>2319042.75</v>
      </c>
      <c r="M37" s="69">
        <f t="shared" ref="M37:P37" si="7">M38+M39+M40+M44+M41+M42+M43</f>
        <v>2319042.75</v>
      </c>
      <c r="N37" s="69">
        <f t="shared" si="7"/>
        <v>0</v>
      </c>
      <c r="O37" s="69">
        <f t="shared" si="7"/>
        <v>0</v>
      </c>
      <c r="P37" s="69">
        <f t="shared" si="7"/>
        <v>0</v>
      </c>
      <c r="Q37" s="78">
        <f t="shared" si="1"/>
        <v>2319042.75</v>
      </c>
    </row>
    <row r="38" spans="1:17" s="4" customFormat="1" ht="31.5" customHeight="1" x14ac:dyDescent="0.25">
      <c r="A38" s="87"/>
      <c r="B38" s="9">
        <v>71952000</v>
      </c>
      <c r="C38" s="10" t="s">
        <v>10</v>
      </c>
      <c r="D38" s="10"/>
      <c r="E38" s="10"/>
      <c r="F38" s="11"/>
      <c r="G38" s="12"/>
      <c r="H38" s="14"/>
      <c r="I38" s="11"/>
      <c r="J38" s="75" t="s">
        <v>31</v>
      </c>
      <c r="K38" s="8" t="s">
        <v>32</v>
      </c>
      <c r="L38" s="69">
        <f>ROUND(((696.7*1.1372*(301.06+75.64+332.98))/1.0314),2)</f>
        <v>545152.62</v>
      </c>
      <c r="M38" s="70">
        <f>L38</f>
        <v>545152.62</v>
      </c>
      <c r="N38" s="70"/>
      <c r="O38" s="70"/>
      <c r="P38" s="70"/>
      <c r="Q38" s="78">
        <f t="shared" si="1"/>
        <v>545152.62</v>
      </c>
    </row>
    <row r="39" spans="1:17" s="4" customFormat="1" ht="31.5" customHeight="1" x14ac:dyDescent="0.25">
      <c r="A39" s="87"/>
      <c r="B39" s="9">
        <v>71952000</v>
      </c>
      <c r="C39" s="10" t="s">
        <v>10</v>
      </c>
      <c r="D39" s="10"/>
      <c r="E39" s="10"/>
      <c r="F39" s="11"/>
      <c r="G39" s="12"/>
      <c r="H39" s="14"/>
      <c r="I39" s="11"/>
      <c r="J39" s="26" t="s">
        <v>33</v>
      </c>
      <c r="K39" s="24" t="s">
        <v>34</v>
      </c>
      <c r="L39" s="69">
        <v>1268519.67</v>
      </c>
      <c r="M39" s="70">
        <f>L39</f>
        <v>1268519.67</v>
      </c>
      <c r="N39" s="70"/>
      <c r="O39" s="70"/>
      <c r="P39" s="70"/>
      <c r="Q39" s="78">
        <f t="shared" si="1"/>
        <v>1268519.67</v>
      </c>
    </row>
    <row r="40" spans="1:17" s="4" customFormat="1" ht="31.5" customHeight="1" x14ac:dyDescent="0.25">
      <c r="A40" s="87"/>
      <c r="B40" s="9">
        <v>71952000</v>
      </c>
      <c r="C40" s="10" t="s">
        <v>10</v>
      </c>
      <c r="D40" s="10"/>
      <c r="E40" s="10"/>
      <c r="F40" s="11"/>
      <c r="G40" s="12"/>
      <c r="H40" s="14"/>
      <c r="I40" s="11"/>
      <c r="J40" s="26" t="s">
        <v>35</v>
      </c>
      <c r="K40" s="24" t="s">
        <v>36</v>
      </c>
      <c r="L40" s="69">
        <f>ROUND(((696.7*1.1372*387.1)/1.0314),2)</f>
        <v>297357.37</v>
      </c>
      <c r="M40" s="70">
        <f>L40</f>
        <v>297357.37</v>
      </c>
      <c r="N40" s="70"/>
      <c r="O40" s="70"/>
      <c r="P40" s="70"/>
      <c r="Q40" s="78">
        <f t="shared" si="1"/>
        <v>297357.37</v>
      </c>
    </row>
    <row r="41" spans="1:17" s="4" customFormat="1" ht="39.6" customHeight="1" x14ac:dyDescent="0.25">
      <c r="A41" s="87"/>
      <c r="B41" s="33">
        <v>71952000</v>
      </c>
      <c r="C41" s="34" t="s">
        <v>10</v>
      </c>
      <c r="D41" s="34"/>
      <c r="E41" s="34"/>
      <c r="F41" s="28"/>
      <c r="G41" s="74"/>
      <c r="H41" s="35"/>
      <c r="I41" s="28"/>
      <c r="J41" s="75" t="s">
        <v>40</v>
      </c>
      <c r="K41" s="32">
        <v>25</v>
      </c>
      <c r="L41" s="23">
        <v>69749.55</v>
      </c>
      <c r="M41" s="29">
        <f t="shared" ref="M41:M43" si="8">L41</f>
        <v>69749.55</v>
      </c>
      <c r="N41" s="29"/>
      <c r="O41" s="29"/>
      <c r="P41" s="29"/>
      <c r="Q41" s="78">
        <f t="shared" si="1"/>
        <v>69749.55</v>
      </c>
    </row>
    <row r="42" spans="1:17" s="4" customFormat="1" ht="36" customHeight="1" x14ac:dyDescent="0.25">
      <c r="A42" s="87"/>
      <c r="B42" s="33">
        <v>71952000</v>
      </c>
      <c r="C42" s="34" t="s">
        <v>10</v>
      </c>
      <c r="D42" s="34"/>
      <c r="E42" s="34"/>
      <c r="F42" s="28"/>
      <c r="G42" s="74"/>
      <c r="H42" s="35"/>
      <c r="I42" s="28"/>
      <c r="J42" s="75" t="s">
        <v>41</v>
      </c>
      <c r="K42" s="32">
        <v>26</v>
      </c>
      <c r="L42" s="23">
        <v>44837.9</v>
      </c>
      <c r="M42" s="29">
        <f t="shared" si="8"/>
        <v>44837.9</v>
      </c>
      <c r="N42" s="29"/>
      <c r="O42" s="29"/>
      <c r="P42" s="29"/>
      <c r="Q42" s="78">
        <f t="shared" si="1"/>
        <v>44837.9</v>
      </c>
    </row>
    <row r="43" spans="1:17" s="4" customFormat="1" ht="36" customHeight="1" x14ac:dyDescent="0.25">
      <c r="A43" s="87"/>
      <c r="B43" s="33">
        <v>71952000</v>
      </c>
      <c r="C43" s="34" t="s">
        <v>10</v>
      </c>
      <c r="D43" s="34"/>
      <c r="E43" s="34"/>
      <c r="F43" s="28"/>
      <c r="G43" s="74"/>
      <c r="H43" s="35"/>
      <c r="I43" s="28"/>
      <c r="J43" s="75" t="s">
        <v>42</v>
      </c>
      <c r="K43" s="32">
        <v>27</v>
      </c>
      <c r="L43" s="23">
        <v>44837.9</v>
      </c>
      <c r="M43" s="29">
        <f t="shared" si="8"/>
        <v>44837.9</v>
      </c>
      <c r="N43" s="29"/>
      <c r="O43" s="29"/>
      <c r="P43" s="29"/>
      <c r="Q43" s="78">
        <f t="shared" si="1"/>
        <v>44837.9</v>
      </c>
    </row>
    <row r="44" spans="1:17" s="4" customFormat="1" ht="15.75" customHeight="1" x14ac:dyDescent="0.25">
      <c r="A44" s="88"/>
      <c r="B44" s="9">
        <v>71952000</v>
      </c>
      <c r="C44" s="10" t="s">
        <v>10</v>
      </c>
      <c r="D44" s="10"/>
      <c r="E44" s="10"/>
      <c r="F44" s="11"/>
      <c r="G44" s="12"/>
      <c r="H44" s="14"/>
      <c r="I44" s="11"/>
      <c r="J44" s="75" t="s">
        <v>28</v>
      </c>
      <c r="K44" s="13">
        <v>21</v>
      </c>
      <c r="L44" s="70">
        <f>ROUND((L38+L39+L40+L41+L42+L43)*2.14%,2)</f>
        <v>48587.74</v>
      </c>
      <c r="M44" s="70">
        <f>L44</f>
        <v>48587.74</v>
      </c>
      <c r="N44" s="70"/>
      <c r="O44" s="70"/>
      <c r="P44" s="70"/>
      <c r="Q44" s="78">
        <f t="shared" si="1"/>
        <v>48587.74</v>
      </c>
    </row>
    <row r="45" spans="1:17" s="4" customFormat="1" ht="15.75" customHeight="1" x14ac:dyDescent="0.25">
      <c r="A45" s="80">
        <v>7</v>
      </c>
      <c r="B45" s="9">
        <v>71952000</v>
      </c>
      <c r="C45" s="10" t="s">
        <v>10</v>
      </c>
      <c r="D45" s="10" t="s">
        <v>10</v>
      </c>
      <c r="E45" s="10" t="s">
        <v>24</v>
      </c>
      <c r="F45" s="11">
        <v>16</v>
      </c>
      <c r="G45" s="12" t="s">
        <v>18</v>
      </c>
      <c r="H45" s="55">
        <v>780.6</v>
      </c>
      <c r="I45" s="11">
        <v>40</v>
      </c>
      <c r="J45" s="81" t="s">
        <v>19</v>
      </c>
      <c r="K45" s="13" t="s">
        <v>0</v>
      </c>
      <c r="L45" s="70">
        <f>L46+L47</f>
        <v>3338047.55</v>
      </c>
      <c r="M45" s="70">
        <f>M46+M47</f>
        <v>3338047.55</v>
      </c>
      <c r="N45" s="70">
        <f t="shared" ref="N45:P45" si="9">N46+N47</f>
        <v>0</v>
      </c>
      <c r="O45" s="70">
        <f t="shared" si="9"/>
        <v>0</v>
      </c>
      <c r="P45" s="70">
        <f t="shared" si="9"/>
        <v>0</v>
      </c>
      <c r="Q45" s="82">
        <f>M45+N45+O45+P45</f>
        <v>3338047.55</v>
      </c>
    </row>
    <row r="46" spans="1:17" s="4" customFormat="1" ht="15.75" customHeight="1" x14ac:dyDescent="0.25">
      <c r="A46" s="80"/>
      <c r="B46" s="9">
        <v>71952000</v>
      </c>
      <c r="C46" s="10" t="s">
        <v>10</v>
      </c>
      <c r="D46" s="10"/>
      <c r="E46" s="10"/>
      <c r="F46" s="11"/>
      <c r="G46" s="12"/>
      <c r="H46" s="14"/>
      <c r="I46" s="11"/>
      <c r="J46" s="81" t="s">
        <v>27</v>
      </c>
      <c r="K46" s="13">
        <v>10</v>
      </c>
      <c r="L46" s="70">
        <v>3268110</v>
      </c>
      <c r="M46" s="70">
        <f t="shared" ref="M46:M47" si="10">L46</f>
        <v>3268110</v>
      </c>
      <c r="N46" s="70"/>
      <c r="O46" s="70"/>
      <c r="P46" s="70"/>
      <c r="Q46" s="82">
        <f>M46+N46+O46+P46</f>
        <v>3268110</v>
      </c>
    </row>
    <row r="47" spans="1:17" s="4" customFormat="1" ht="15.75" customHeight="1" x14ac:dyDescent="0.25">
      <c r="A47" s="80"/>
      <c r="B47" s="9">
        <v>71952000</v>
      </c>
      <c r="C47" s="10" t="s">
        <v>10</v>
      </c>
      <c r="D47" s="10"/>
      <c r="E47" s="10"/>
      <c r="F47" s="11"/>
      <c r="G47" s="12"/>
      <c r="H47" s="14"/>
      <c r="I47" s="11"/>
      <c r="J47" s="81" t="s">
        <v>28</v>
      </c>
      <c r="K47" s="13">
        <v>21</v>
      </c>
      <c r="L47" s="70">
        <f>ROUND((L46)*2.14%,2)</f>
        <v>69937.55</v>
      </c>
      <c r="M47" s="70">
        <f t="shared" si="10"/>
        <v>69937.55</v>
      </c>
      <c r="N47" s="70"/>
      <c r="O47" s="70"/>
      <c r="P47" s="70"/>
      <c r="Q47" s="82">
        <f>M47+N47+O47+P47</f>
        <v>69937.55</v>
      </c>
    </row>
    <row r="48" spans="1:17" s="4" customFormat="1" ht="15.75" customHeight="1" x14ac:dyDescent="0.25">
      <c r="A48" s="86">
        <v>8</v>
      </c>
      <c r="B48" s="9">
        <v>71952000</v>
      </c>
      <c r="C48" s="10" t="s">
        <v>10</v>
      </c>
      <c r="D48" s="10" t="s">
        <v>10</v>
      </c>
      <c r="E48" s="26" t="s">
        <v>25</v>
      </c>
      <c r="F48" s="11">
        <v>6</v>
      </c>
      <c r="G48" s="12" t="s">
        <v>18</v>
      </c>
      <c r="H48" s="57">
        <v>1422.5</v>
      </c>
      <c r="I48" s="11">
        <v>61</v>
      </c>
      <c r="J48" s="26" t="s">
        <v>19</v>
      </c>
      <c r="K48" s="30" t="s">
        <v>0</v>
      </c>
      <c r="L48" s="70">
        <f>L49+L50+L51+L52+L53</f>
        <v>4366137.9700000007</v>
      </c>
      <c r="M48" s="70">
        <f>M49+M50+M51+M52+M53</f>
        <v>4366137.9700000007</v>
      </c>
      <c r="N48" s="70">
        <f t="shared" ref="N48:P48" si="11">N49+N50+N51+N52+N53</f>
        <v>0</v>
      </c>
      <c r="O48" s="70">
        <f t="shared" si="11"/>
        <v>0</v>
      </c>
      <c r="P48" s="70">
        <f t="shared" si="11"/>
        <v>0</v>
      </c>
      <c r="Q48" s="78">
        <f t="shared" ref="Q48:Q53" si="12">M48+N48+O48+P48</f>
        <v>4366137.9700000007</v>
      </c>
    </row>
    <row r="49" spans="1:19" s="4" customFormat="1" ht="15.75" customHeight="1" x14ac:dyDescent="0.25">
      <c r="A49" s="87"/>
      <c r="B49" s="9">
        <v>71952000</v>
      </c>
      <c r="C49" s="10" t="s">
        <v>10</v>
      </c>
      <c r="D49" s="10"/>
      <c r="E49" s="10"/>
      <c r="F49" s="11"/>
      <c r="G49" s="12"/>
      <c r="H49" s="14"/>
      <c r="I49" s="11"/>
      <c r="J49" s="75" t="s">
        <v>27</v>
      </c>
      <c r="K49" s="9">
        <v>10</v>
      </c>
      <c r="L49" s="71">
        <v>1444703.98</v>
      </c>
      <c r="M49" s="70">
        <f t="shared" ref="M49:M52" si="13">L49</f>
        <v>1444703.98</v>
      </c>
      <c r="N49" s="70"/>
      <c r="O49" s="72"/>
      <c r="P49" s="72"/>
      <c r="Q49" s="78">
        <f t="shared" si="12"/>
        <v>1444703.98</v>
      </c>
    </row>
    <row r="50" spans="1:19" s="4" customFormat="1" ht="31.5" customHeight="1" x14ac:dyDescent="0.25">
      <c r="A50" s="87"/>
      <c r="B50" s="9">
        <v>71952000</v>
      </c>
      <c r="C50" s="10" t="s">
        <v>10</v>
      </c>
      <c r="D50" s="10"/>
      <c r="E50" s="10"/>
      <c r="F50" s="11"/>
      <c r="G50" s="12"/>
      <c r="H50" s="14"/>
      <c r="I50" s="11"/>
      <c r="J50" s="75" t="s">
        <v>31</v>
      </c>
      <c r="K50" s="8" t="s">
        <v>32</v>
      </c>
      <c r="L50" s="69">
        <f>ROUND(((1190.9*1.1372*(275.82+47.4+313.74))/1.0314),2)</f>
        <v>836367.56</v>
      </c>
      <c r="M50" s="70">
        <f t="shared" si="13"/>
        <v>836367.56</v>
      </c>
      <c r="N50" s="70"/>
      <c r="O50" s="70"/>
      <c r="P50" s="70"/>
      <c r="Q50" s="78">
        <f t="shared" si="12"/>
        <v>836367.56</v>
      </c>
    </row>
    <row r="51" spans="1:19" s="4" customFormat="1" ht="31.5" customHeight="1" x14ac:dyDescent="0.25">
      <c r="A51" s="87"/>
      <c r="B51" s="9">
        <v>71952000</v>
      </c>
      <c r="C51" s="10" t="s">
        <v>10</v>
      </c>
      <c r="D51" s="10"/>
      <c r="E51" s="10"/>
      <c r="F51" s="11"/>
      <c r="G51" s="12"/>
      <c r="H51" s="14"/>
      <c r="I51" s="11"/>
      <c r="J51" s="26" t="s">
        <v>33</v>
      </c>
      <c r="K51" s="24" t="s">
        <v>34</v>
      </c>
      <c r="L51" s="69">
        <v>1632194.82</v>
      </c>
      <c r="M51" s="70">
        <f t="shared" si="13"/>
        <v>1632194.82</v>
      </c>
      <c r="N51" s="43"/>
      <c r="O51" s="43"/>
      <c r="P51" s="43"/>
      <c r="Q51" s="78">
        <f t="shared" si="12"/>
        <v>1632194.82</v>
      </c>
    </row>
    <row r="52" spans="1:19" s="4" customFormat="1" ht="31.5" customHeight="1" x14ac:dyDescent="0.25">
      <c r="A52" s="87"/>
      <c r="B52" s="15">
        <v>71952000</v>
      </c>
      <c r="C52" s="16" t="s">
        <v>10</v>
      </c>
      <c r="D52" s="16"/>
      <c r="E52" s="16"/>
      <c r="F52" s="17"/>
      <c r="G52" s="77"/>
      <c r="H52" s="58"/>
      <c r="I52" s="17"/>
      <c r="J52" s="26" t="s">
        <v>35</v>
      </c>
      <c r="K52" s="24" t="s">
        <v>36</v>
      </c>
      <c r="L52" s="69">
        <f>ROUND(((1190.9*1.1372*275.23)/1.0314),2)</f>
        <v>361393.88</v>
      </c>
      <c r="M52" s="70">
        <f t="shared" si="13"/>
        <v>361393.88</v>
      </c>
      <c r="N52" s="43"/>
      <c r="O52" s="43"/>
      <c r="P52" s="43"/>
      <c r="Q52" s="78">
        <f t="shared" si="12"/>
        <v>361393.88</v>
      </c>
    </row>
    <row r="53" spans="1:19" s="4" customFormat="1" ht="15.75" customHeight="1" x14ac:dyDescent="0.25">
      <c r="A53" s="88"/>
      <c r="B53" s="9">
        <v>71952000</v>
      </c>
      <c r="C53" s="10" t="s">
        <v>10</v>
      </c>
      <c r="D53" s="18"/>
      <c r="E53" s="18"/>
      <c r="F53" s="43"/>
      <c r="G53" s="44"/>
      <c r="H53" s="59"/>
      <c r="I53" s="45"/>
      <c r="J53" s="75" t="s">
        <v>28</v>
      </c>
      <c r="K53" s="9">
        <v>21</v>
      </c>
      <c r="L53" s="70">
        <f>ROUND((L49+L50+L51+L52)*2.14%,2)</f>
        <v>91477.73</v>
      </c>
      <c r="M53" s="70">
        <f>L53</f>
        <v>91477.73</v>
      </c>
      <c r="N53" s="43"/>
      <c r="O53" s="43"/>
      <c r="P53" s="43"/>
      <c r="Q53" s="78">
        <f t="shared" si="12"/>
        <v>91477.73</v>
      </c>
    </row>
    <row r="54" spans="1:19" s="27" customFormat="1" ht="18" customHeight="1" x14ac:dyDescent="0.25">
      <c r="A54" s="86">
        <v>9</v>
      </c>
      <c r="B54" s="9">
        <v>71952000</v>
      </c>
      <c r="C54" s="10" t="s">
        <v>10</v>
      </c>
      <c r="D54" s="10" t="s">
        <v>10</v>
      </c>
      <c r="E54" s="26" t="s">
        <v>21</v>
      </c>
      <c r="F54" s="11">
        <v>2</v>
      </c>
      <c r="G54" s="12" t="s">
        <v>18</v>
      </c>
      <c r="H54" s="46">
        <v>4252</v>
      </c>
      <c r="I54" s="11">
        <v>162</v>
      </c>
      <c r="J54" s="26" t="s">
        <v>19</v>
      </c>
      <c r="K54" s="30" t="s">
        <v>0</v>
      </c>
      <c r="L54" s="69">
        <f t="shared" ref="L54:P54" si="14">L55+L56</f>
        <v>2214165.7800000003</v>
      </c>
      <c r="M54" s="69">
        <f t="shared" si="14"/>
        <v>2214165.7800000003</v>
      </c>
      <c r="N54" s="69">
        <f t="shared" si="14"/>
        <v>0</v>
      </c>
      <c r="O54" s="69">
        <f t="shared" si="14"/>
        <v>0</v>
      </c>
      <c r="P54" s="69">
        <f t="shared" si="14"/>
        <v>0</v>
      </c>
      <c r="Q54" s="78">
        <f t="shared" ref="Q54:Q71" si="15">M54+N54+O54+P54</f>
        <v>2214165.7800000003</v>
      </c>
      <c r="R54" s="54"/>
      <c r="S54" s="54"/>
    </row>
    <row r="55" spans="1:19" s="27" customFormat="1" ht="18" customHeight="1" x14ac:dyDescent="0.25">
      <c r="A55" s="87"/>
      <c r="B55" s="9">
        <v>71952000</v>
      </c>
      <c r="C55" s="10" t="s">
        <v>10</v>
      </c>
      <c r="D55" s="10"/>
      <c r="E55" s="10"/>
      <c r="F55" s="11"/>
      <c r="G55" s="12"/>
      <c r="H55" s="14"/>
      <c r="I55" s="11"/>
      <c r="J55" s="75" t="s">
        <v>29</v>
      </c>
      <c r="K55" s="24" t="s">
        <v>30</v>
      </c>
      <c r="L55" s="71">
        <v>2167775.39</v>
      </c>
      <c r="M55" s="70">
        <f t="shared" ref="M55:M56" si="16">L55</f>
        <v>2167775.39</v>
      </c>
      <c r="N55" s="70"/>
      <c r="O55" s="70"/>
      <c r="P55" s="70"/>
      <c r="Q55" s="78">
        <f t="shared" si="15"/>
        <v>2167775.39</v>
      </c>
      <c r="R55" s="54"/>
      <c r="S55" s="54"/>
    </row>
    <row r="56" spans="1:19" s="27" customFormat="1" ht="18" customHeight="1" x14ac:dyDescent="0.25">
      <c r="A56" s="88"/>
      <c r="B56" s="9">
        <v>71952000</v>
      </c>
      <c r="C56" s="10" t="s">
        <v>10</v>
      </c>
      <c r="D56" s="10"/>
      <c r="E56" s="10"/>
      <c r="F56" s="11"/>
      <c r="G56" s="12"/>
      <c r="H56" s="14"/>
      <c r="I56" s="11"/>
      <c r="J56" s="75" t="s">
        <v>28</v>
      </c>
      <c r="K56" s="9">
        <v>21</v>
      </c>
      <c r="L56" s="69">
        <f>ROUND((L55)*2.14%,2)</f>
        <v>46390.39</v>
      </c>
      <c r="M56" s="70">
        <f t="shared" si="16"/>
        <v>46390.39</v>
      </c>
      <c r="N56" s="70"/>
      <c r="O56" s="70"/>
      <c r="P56" s="70"/>
      <c r="Q56" s="78">
        <f t="shared" si="15"/>
        <v>46390.39</v>
      </c>
      <c r="R56" s="54"/>
      <c r="S56" s="54"/>
    </row>
    <row r="57" spans="1:19" s="4" customFormat="1" ht="18" customHeight="1" x14ac:dyDescent="0.25">
      <c r="A57" s="86">
        <v>10</v>
      </c>
      <c r="B57" s="9">
        <v>71952000</v>
      </c>
      <c r="C57" s="10" t="s">
        <v>10</v>
      </c>
      <c r="D57" s="10" t="s">
        <v>10</v>
      </c>
      <c r="E57" s="26" t="s">
        <v>21</v>
      </c>
      <c r="F57" s="11">
        <v>5</v>
      </c>
      <c r="G57" s="12" t="s">
        <v>18</v>
      </c>
      <c r="H57" s="46">
        <v>3492.2</v>
      </c>
      <c r="I57" s="11">
        <v>149</v>
      </c>
      <c r="J57" s="25" t="s">
        <v>22</v>
      </c>
      <c r="K57" s="12" t="s">
        <v>0</v>
      </c>
      <c r="L57" s="70">
        <f>L58+L59</f>
        <v>470000</v>
      </c>
      <c r="M57" s="70">
        <f t="shared" ref="M57:P57" si="17">M58+M59</f>
        <v>20000</v>
      </c>
      <c r="N57" s="70">
        <f t="shared" si="17"/>
        <v>0</v>
      </c>
      <c r="O57" s="70">
        <f t="shared" si="17"/>
        <v>427500</v>
      </c>
      <c r="P57" s="70">
        <f t="shared" si="17"/>
        <v>22500</v>
      </c>
      <c r="Q57" s="78">
        <f t="shared" si="15"/>
        <v>470000</v>
      </c>
    </row>
    <row r="58" spans="1:19" s="4" customFormat="1" ht="51.75" customHeight="1" x14ac:dyDescent="0.25">
      <c r="A58" s="87"/>
      <c r="B58" s="9">
        <v>71952000</v>
      </c>
      <c r="C58" s="10" t="s">
        <v>10</v>
      </c>
      <c r="D58" s="10"/>
      <c r="E58" s="10"/>
      <c r="F58" s="12"/>
      <c r="G58" s="12"/>
      <c r="H58" s="14"/>
      <c r="I58" s="11"/>
      <c r="J58" s="75" t="s">
        <v>26</v>
      </c>
      <c r="K58" s="8" t="s">
        <v>20</v>
      </c>
      <c r="L58" s="73">
        <v>450000</v>
      </c>
      <c r="M58" s="70">
        <v>0</v>
      </c>
      <c r="N58" s="70"/>
      <c r="O58" s="68">
        <f>L58*0.95</f>
        <v>427500</v>
      </c>
      <c r="P58" s="68">
        <f>L58*0.05</f>
        <v>22500</v>
      </c>
      <c r="Q58" s="78">
        <f t="shared" si="15"/>
        <v>450000</v>
      </c>
    </row>
    <row r="59" spans="1:19" s="4" customFormat="1" ht="110.25" customHeight="1" x14ac:dyDescent="0.25">
      <c r="A59" s="88"/>
      <c r="B59" s="9">
        <v>71952000</v>
      </c>
      <c r="C59" s="10" t="s">
        <v>10</v>
      </c>
      <c r="D59" s="10"/>
      <c r="E59" s="10"/>
      <c r="F59" s="12"/>
      <c r="G59" s="12"/>
      <c r="H59" s="14"/>
      <c r="I59" s="11"/>
      <c r="J59" s="75" t="s">
        <v>45</v>
      </c>
      <c r="K59" s="24" t="s">
        <v>37</v>
      </c>
      <c r="L59" s="70">
        <v>20000</v>
      </c>
      <c r="M59" s="70">
        <f>L59</f>
        <v>20000</v>
      </c>
      <c r="N59" s="70"/>
      <c r="O59" s="69"/>
      <c r="P59" s="69"/>
      <c r="Q59" s="78">
        <f t="shared" si="15"/>
        <v>20000</v>
      </c>
    </row>
    <row r="60" spans="1:19" s="4" customFormat="1" ht="15.75" customHeight="1" x14ac:dyDescent="0.25">
      <c r="A60" s="86">
        <v>11</v>
      </c>
      <c r="B60" s="9">
        <v>71952000</v>
      </c>
      <c r="C60" s="10" t="s">
        <v>10</v>
      </c>
      <c r="D60" s="10" t="s">
        <v>10</v>
      </c>
      <c r="E60" s="26" t="s">
        <v>21</v>
      </c>
      <c r="F60" s="11">
        <v>8</v>
      </c>
      <c r="G60" s="12" t="s">
        <v>18</v>
      </c>
      <c r="H60" s="42">
        <v>4216.1000000000004</v>
      </c>
      <c r="I60" s="11">
        <v>179</v>
      </c>
      <c r="J60" s="25" t="s">
        <v>22</v>
      </c>
      <c r="K60" s="12" t="s">
        <v>0</v>
      </c>
      <c r="L60" s="70">
        <f>L61+L62</f>
        <v>680000</v>
      </c>
      <c r="M60" s="70">
        <f t="shared" ref="M60:P60" si="18">M61+M62</f>
        <v>20000</v>
      </c>
      <c r="N60" s="70">
        <f t="shared" si="18"/>
        <v>0</v>
      </c>
      <c r="O60" s="70">
        <f t="shared" si="18"/>
        <v>627000</v>
      </c>
      <c r="P60" s="70">
        <f t="shared" si="18"/>
        <v>33000</v>
      </c>
      <c r="Q60" s="78">
        <f t="shared" si="15"/>
        <v>680000</v>
      </c>
    </row>
    <row r="61" spans="1:19" s="4" customFormat="1" ht="51.75" customHeight="1" x14ac:dyDescent="0.25">
      <c r="A61" s="87"/>
      <c r="B61" s="9">
        <v>71952000</v>
      </c>
      <c r="C61" s="10" t="s">
        <v>10</v>
      </c>
      <c r="D61" s="10"/>
      <c r="E61" s="10"/>
      <c r="F61" s="12"/>
      <c r="G61" s="12"/>
      <c r="H61" s="14"/>
      <c r="I61" s="11"/>
      <c r="J61" s="75" t="s">
        <v>26</v>
      </c>
      <c r="K61" s="8" t="s">
        <v>20</v>
      </c>
      <c r="L61" s="73">
        <v>660000</v>
      </c>
      <c r="M61" s="70">
        <v>0</v>
      </c>
      <c r="N61" s="70"/>
      <c r="O61" s="68">
        <f>L61*0.95</f>
        <v>627000</v>
      </c>
      <c r="P61" s="68">
        <f>L61*0.05</f>
        <v>33000</v>
      </c>
      <c r="Q61" s="78">
        <f t="shared" si="15"/>
        <v>660000</v>
      </c>
    </row>
    <row r="62" spans="1:19" s="4" customFormat="1" ht="110.25" customHeight="1" x14ac:dyDescent="0.25">
      <c r="A62" s="88"/>
      <c r="B62" s="9">
        <v>71952000</v>
      </c>
      <c r="C62" s="10" t="s">
        <v>10</v>
      </c>
      <c r="D62" s="10"/>
      <c r="E62" s="10"/>
      <c r="F62" s="12"/>
      <c r="G62" s="12"/>
      <c r="H62" s="14"/>
      <c r="I62" s="11"/>
      <c r="J62" s="75" t="s">
        <v>45</v>
      </c>
      <c r="K62" s="24" t="s">
        <v>37</v>
      </c>
      <c r="L62" s="70">
        <v>20000</v>
      </c>
      <c r="M62" s="70">
        <f>L62</f>
        <v>20000</v>
      </c>
      <c r="N62" s="70"/>
      <c r="O62" s="69"/>
      <c r="P62" s="69"/>
      <c r="Q62" s="78">
        <f t="shared" si="15"/>
        <v>20000</v>
      </c>
    </row>
    <row r="63" spans="1:19" s="4" customFormat="1" ht="15.75" customHeight="1" x14ac:dyDescent="0.25">
      <c r="A63" s="86">
        <v>12</v>
      </c>
      <c r="B63" s="9">
        <v>71952000</v>
      </c>
      <c r="C63" s="10" t="s">
        <v>10</v>
      </c>
      <c r="D63" s="10" t="s">
        <v>10</v>
      </c>
      <c r="E63" s="26" t="s">
        <v>21</v>
      </c>
      <c r="F63" s="11">
        <v>20</v>
      </c>
      <c r="G63" s="12" t="s">
        <v>18</v>
      </c>
      <c r="H63" s="60">
        <v>2311.5</v>
      </c>
      <c r="I63" s="11">
        <v>87</v>
      </c>
      <c r="J63" s="25" t="s">
        <v>22</v>
      </c>
      <c r="K63" s="12" t="s">
        <v>0</v>
      </c>
      <c r="L63" s="70">
        <f>L64+L65</f>
        <v>453000</v>
      </c>
      <c r="M63" s="70">
        <f t="shared" ref="M63:P63" si="19">M64+M65</f>
        <v>20000</v>
      </c>
      <c r="N63" s="70">
        <f t="shared" si="19"/>
        <v>0</v>
      </c>
      <c r="O63" s="70">
        <f t="shared" si="19"/>
        <v>411350</v>
      </c>
      <c r="P63" s="70">
        <f t="shared" si="19"/>
        <v>21650</v>
      </c>
      <c r="Q63" s="78">
        <f t="shared" si="15"/>
        <v>453000</v>
      </c>
    </row>
    <row r="64" spans="1:19" s="4" customFormat="1" ht="51.75" customHeight="1" x14ac:dyDescent="0.25">
      <c r="A64" s="87"/>
      <c r="B64" s="9">
        <v>71952000</v>
      </c>
      <c r="C64" s="10" t="s">
        <v>10</v>
      </c>
      <c r="D64" s="10"/>
      <c r="E64" s="10"/>
      <c r="F64" s="12"/>
      <c r="G64" s="12"/>
      <c r="H64" s="14"/>
      <c r="I64" s="11"/>
      <c r="J64" s="75" t="s">
        <v>26</v>
      </c>
      <c r="K64" s="8" t="s">
        <v>20</v>
      </c>
      <c r="L64" s="73">
        <v>433000</v>
      </c>
      <c r="M64" s="70">
        <v>0</v>
      </c>
      <c r="N64" s="70"/>
      <c r="O64" s="68">
        <f>L64*0.95</f>
        <v>411350</v>
      </c>
      <c r="P64" s="68">
        <f>L64*0.05</f>
        <v>21650</v>
      </c>
      <c r="Q64" s="78">
        <f t="shared" si="15"/>
        <v>433000</v>
      </c>
    </row>
    <row r="65" spans="1:17" s="4" customFormat="1" ht="110.25" customHeight="1" x14ac:dyDescent="0.25">
      <c r="A65" s="88"/>
      <c r="B65" s="9">
        <v>71952000</v>
      </c>
      <c r="C65" s="10" t="s">
        <v>10</v>
      </c>
      <c r="D65" s="10"/>
      <c r="E65" s="10"/>
      <c r="F65" s="12"/>
      <c r="G65" s="12"/>
      <c r="H65" s="14"/>
      <c r="I65" s="11"/>
      <c r="J65" s="75" t="s">
        <v>45</v>
      </c>
      <c r="K65" s="24" t="s">
        <v>37</v>
      </c>
      <c r="L65" s="70">
        <v>20000</v>
      </c>
      <c r="M65" s="70">
        <f>L65</f>
        <v>20000</v>
      </c>
      <c r="N65" s="70"/>
      <c r="O65" s="69"/>
      <c r="P65" s="69"/>
      <c r="Q65" s="78">
        <f t="shared" si="15"/>
        <v>20000</v>
      </c>
    </row>
    <row r="66" spans="1:17" s="4" customFormat="1" ht="15.75" customHeight="1" x14ac:dyDescent="0.25">
      <c r="A66" s="86">
        <v>13</v>
      </c>
      <c r="B66" s="9">
        <v>71952000</v>
      </c>
      <c r="C66" s="10" t="s">
        <v>10</v>
      </c>
      <c r="D66" s="10" t="s">
        <v>10</v>
      </c>
      <c r="E66" s="26" t="s">
        <v>25</v>
      </c>
      <c r="F66" s="11">
        <v>18</v>
      </c>
      <c r="G66" s="12" t="s">
        <v>18</v>
      </c>
      <c r="H66" s="42">
        <v>2386.9</v>
      </c>
      <c r="I66" s="11">
        <v>79</v>
      </c>
      <c r="J66" s="25" t="s">
        <v>22</v>
      </c>
      <c r="K66" s="12" t="s">
        <v>0</v>
      </c>
      <c r="L66" s="70">
        <f>L67+L68</f>
        <v>135000</v>
      </c>
      <c r="M66" s="70">
        <f t="shared" ref="M66:P66" si="20">M67+M68</f>
        <v>20000</v>
      </c>
      <c r="N66" s="70">
        <f t="shared" si="20"/>
        <v>0</v>
      </c>
      <c r="O66" s="70">
        <f t="shared" si="20"/>
        <v>109250</v>
      </c>
      <c r="P66" s="70">
        <f t="shared" si="20"/>
        <v>5750</v>
      </c>
      <c r="Q66" s="78">
        <f t="shared" si="15"/>
        <v>135000</v>
      </c>
    </row>
    <row r="67" spans="1:17" s="4" customFormat="1" ht="51.75" customHeight="1" x14ac:dyDescent="0.25">
      <c r="A67" s="87"/>
      <c r="B67" s="9">
        <v>71952000</v>
      </c>
      <c r="C67" s="10" t="s">
        <v>10</v>
      </c>
      <c r="D67" s="10"/>
      <c r="E67" s="10"/>
      <c r="F67" s="12"/>
      <c r="G67" s="12"/>
      <c r="H67" s="14"/>
      <c r="I67" s="11"/>
      <c r="J67" s="75" t="s">
        <v>26</v>
      </c>
      <c r="K67" s="8" t="s">
        <v>20</v>
      </c>
      <c r="L67" s="73">
        <v>115000</v>
      </c>
      <c r="M67" s="70">
        <v>0</v>
      </c>
      <c r="N67" s="70"/>
      <c r="O67" s="68">
        <f>L67*0.95</f>
        <v>109250</v>
      </c>
      <c r="P67" s="68">
        <f>L67*0.05</f>
        <v>5750</v>
      </c>
      <c r="Q67" s="78">
        <f t="shared" si="15"/>
        <v>115000</v>
      </c>
    </row>
    <row r="68" spans="1:17" s="4" customFormat="1" ht="110.25" customHeight="1" x14ac:dyDescent="0.25">
      <c r="A68" s="88"/>
      <c r="B68" s="9">
        <v>71952000</v>
      </c>
      <c r="C68" s="10" t="s">
        <v>10</v>
      </c>
      <c r="D68" s="10"/>
      <c r="E68" s="10"/>
      <c r="F68" s="12"/>
      <c r="G68" s="12"/>
      <c r="H68" s="14"/>
      <c r="I68" s="11"/>
      <c r="J68" s="75" t="s">
        <v>45</v>
      </c>
      <c r="K68" s="24" t="s">
        <v>37</v>
      </c>
      <c r="L68" s="70">
        <v>20000</v>
      </c>
      <c r="M68" s="70">
        <f>L68</f>
        <v>20000</v>
      </c>
      <c r="N68" s="70"/>
      <c r="O68" s="69"/>
      <c r="P68" s="69"/>
      <c r="Q68" s="78">
        <f t="shared" si="15"/>
        <v>20000</v>
      </c>
    </row>
    <row r="69" spans="1:17" s="4" customFormat="1" ht="15.75" customHeight="1" x14ac:dyDescent="0.25">
      <c r="A69" s="86">
        <v>14</v>
      </c>
      <c r="B69" s="9">
        <v>71952000</v>
      </c>
      <c r="C69" s="10" t="s">
        <v>10</v>
      </c>
      <c r="D69" s="10" t="s">
        <v>10</v>
      </c>
      <c r="E69" s="26" t="s">
        <v>25</v>
      </c>
      <c r="F69" s="11">
        <v>21</v>
      </c>
      <c r="G69" s="12" t="s">
        <v>18</v>
      </c>
      <c r="H69" s="55">
        <v>2825.3</v>
      </c>
      <c r="I69" s="11">
        <v>129</v>
      </c>
      <c r="J69" s="25" t="s">
        <v>22</v>
      </c>
      <c r="K69" s="12" t="s">
        <v>0</v>
      </c>
      <c r="L69" s="70">
        <f>L70+L71</f>
        <v>118000</v>
      </c>
      <c r="M69" s="70">
        <f t="shared" ref="M69:P69" si="21">M70+M71</f>
        <v>20000</v>
      </c>
      <c r="N69" s="70">
        <f t="shared" si="21"/>
        <v>0</v>
      </c>
      <c r="O69" s="70">
        <f t="shared" si="21"/>
        <v>93100</v>
      </c>
      <c r="P69" s="70">
        <f t="shared" si="21"/>
        <v>4900</v>
      </c>
      <c r="Q69" s="78">
        <f t="shared" si="15"/>
        <v>118000</v>
      </c>
    </row>
    <row r="70" spans="1:17" s="4" customFormat="1" ht="51.75" customHeight="1" x14ac:dyDescent="0.25">
      <c r="A70" s="87"/>
      <c r="B70" s="9">
        <v>71952000</v>
      </c>
      <c r="C70" s="10" t="s">
        <v>10</v>
      </c>
      <c r="D70" s="10"/>
      <c r="E70" s="10"/>
      <c r="F70" s="12"/>
      <c r="G70" s="12"/>
      <c r="H70" s="14"/>
      <c r="I70" s="11"/>
      <c r="J70" s="75" t="s">
        <v>26</v>
      </c>
      <c r="K70" s="8" t="s">
        <v>20</v>
      </c>
      <c r="L70" s="73">
        <v>98000</v>
      </c>
      <c r="M70" s="70">
        <v>0</v>
      </c>
      <c r="N70" s="70"/>
      <c r="O70" s="68">
        <f>L70*0.95</f>
        <v>93100</v>
      </c>
      <c r="P70" s="68">
        <f>L70*0.05</f>
        <v>4900</v>
      </c>
      <c r="Q70" s="78">
        <f t="shared" si="15"/>
        <v>98000</v>
      </c>
    </row>
    <row r="71" spans="1:17" s="4" customFormat="1" ht="110.25" customHeight="1" x14ac:dyDescent="0.25">
      <c r="A71" s="88"/>
      <c r="B71" s="9">
        <v>71952000</v>
      </c>
      <c r="C71" s="10" t="s">
        <v>10</v>
      </c>
      <c r="D71" s="10"/>
      <c r="E71" s="10"/>
      <c r="F71" s="12"/>
      <c r="G71" s="12"/>
      <c r="H71" s="14"/>
      <c r="I71" s="11"/>
      <c r="J71" s="75" t="s">
        <v>45</v>
      </c>
      <c r="K71" s="24" t="s">
        <v>37</v>
      </c>
      <c r="L71" s="70">
        <v>20000</v>
      </c>
      <c r="M71" s="70">
        <f>L71</f>
        <v>20000</v>
      </c>
      <c r="N71" s="70"/>
      <c r="O71" s="69"/>
      <c r="P71" s="69"/>
      <c r="Q71" s="78">
        <f t="shared" si="15"/>
        <v>20000</v>
      </c>
    </row>
    <row r="72" spans="1:17" ht="26.25" x14ac:dyDescent="0.25">
      <c r="Q72" s="36"/>
    </row>
  </sheetData>
  <autoFilter ref="A11:BL71"/>
  <mergeCells count="36">
    <mergeCell ref="A18:A20"/>
    <mergeCell ref="A12:E12"/>
    <mergeCell ref="A60:A62"/>
    <mergeCell ref="A63:A65"/>
    <mergeCell ref="A66:A68"/>
    <mergeCell ref="A69:A71"/>
    <mergeCell ref="A57:A59"/>
    <mergeCell ref="A48:A53"/>
    <mergeCell ref="A1:Q2"/>
    <mergeCell ref="A3:Q3"/>
    <mergeCell ref="A4:Q4"/>
    <mergeCell ref="M6:Q6"/>
    <mergeCell ref="D7:D10"/>
    <mergeCell ref="E7:E10"/>
    <mergeCell ref="F7:F10"/>
    <mergeCell ref="D6:G6"/>
    <mergeCell ref="M7:M9"/>
    <mergeCell ref="N7:N9"/>
    <mergeCell ref="O7:O9"/>
    <mergeCell ref="P7:P9"/>
    <mergeCell ref="Q7:Q9"/>
    <mergeCell ref="A6:A10"/>
    <mergeCell ref="I6:I10"/>
    <mergeCell ref="J6:K9"/>
    <mergeCell ref="L6:L9"/>
    <mergeCell ref="H6:H10"/>
    <mergeCell ref="G7:G10"/>
    <mergeCell ref="B6:B10"/>
    <mergeCell ref="C6:C10"/>
    <mergeCell ref="A37:A44"/>
    <mergeCell ref="B13:I13"/>
    <mergeCell ref="A25:A32"/>
    <mergeCell ref="A14:A17"/>
    <mergeCell ref="A21:A24"/>
    <mergeCell ref="A33:A36"/>
    <mergeCell ref="A54:A56"/>
  </mergeCells>
  <printOptions horizontalCentered="1"/>
  <pageMargins left="0.78740157480314965" right="0.78740157480314965" top="1.1811023622047245" bottom="0.39370078740157483" header="0.51181102362204722" footer="0"/>
  <pageSetup paperSize="9" scale="36" fitToHeight="0" orientation="landscape" useFirstPageNumber="1" r:id="rId1"/>
  <headerFooter differentFirst="1">
    <oddHeader>&amp;C&amp;"PT Astra Serif,обычный"&amp;12&amp;P</oddHeader>
  </headerFooter>
  <rowBreaks count="2" manualBreakCount="2">
    <brk id="24" max="16" man="1"/>
    <brk id="6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2020-2022</vt:lpstr>
      <vt:lpstr>'2020-2022'!Заголовки_для_печати</vt:lpstr>
      <vt:lpstr>'2020-2022'!Область_печати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kazimirov</dc:creator>
  <cp:lastModifiedBy>Рабченюк П.Ю</cp:lastModifiedBy>
  <cp:lastPrinted>2020-12-24T09:08:26Z</cp:lastPrinted>
  <dcterms:created xsi:type="dcterms:W3CDTF">2015-06-18T05:00:26Z</dcterms:created>
  <dcterms:modified xsi:type="dcterms:W3CDTF">2020-12-29T07:17:24Z</dcterms:modified>
</cp:coreProperties>
</file>